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 firstSheet="7" activeTab="7"/>
  </bookViews>
  <sheets>
    <sheet name="SINAPI" sheetId="1" state="hidden" r:id="rId1"/>
    <sheet name="Plan1" sheetId="2" state="hidden" r:id="rId2"/>
    <sheet name="RESUMO" sheetId="3" state="hidden" r:id="rId3"/>
    <sheet name="ANEXO VI- Planilha Orçamentária" sheetId="4" state="hidden" r:id="rId4"/>
    <sheet name="ANEXO XVII- MEMORIA DE CALCULO" sheetId="5" state="hidden" r:id="rId5"/>
    <sheet name="ORÇAMENTO SEM BDI" sheetId="6" state="hidden" r:id="rId6"/>
    <sheet name="ANEXO VII- CRONOG. FISICO-FINA." sheetId="7" state="hidden" r:id="rId7"/>
    <sheet name="BDI 29%" sheetId="8" r:id="rId8"/>
    <sheet name="ANEXO X- BDI 15%" sheetId="9" state="hidden" r:id="rId9"/>
    <sheet name="ENCARGOS SOCIAIS" sheetId="10" state="hidden" r:id="rId10"/>
    <sheet name="ENCARGOS SOCIAIS DESONERADO" sheetId="11" state="hidden" r:id="rId11"/>
    <sheet name="ANEXO XVI- COMP. DE CUSTO UNIT." sheetId="12" state="hidden" r:id="rId12"/>
    <sheet name="Quantitativo" sheetId="13" state="hidden" r:id="rId13"/>
    <sheet name="Plan2" sheetId="14" state="hidden" r:id="rId14"/>
    <sheet name="Referencias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" hidden="1">Plan1!$A$1:$E$1</definedName>
    <definedName name="a" localSheetId="3">#REF!</definedName>
    <definedName name="a" localSheetId="12">#REF!</definedName>
    <definedName name="a" localSheetId="0">#REF!</definedName>
    <definedName name="a">#REF!</definedName>
    <definedName name="and" localSheetId="3">#REF!</definedName>
    <definedName name="and" localSheetId="12">#REF!</definedName>
    <definedName name="and">#REF!</definedName>
    <definedName name="_xlnm.Print_Area" localSheetId="3">'ANEXO VI- Planilha Orçamentária'!$A$1:$K$100</definedName>
    <definedName name="_xlnm.Print_Area" localSheetId="6">'ANEXO VII- CRONOG. FISICO-FINA.'!$A$1:$I$51</definedName>
    <definedName name="_xlnm.Print_Area" localSheetId="11">'ANEXO XVI- COMP. DE CUSTO UNIT.'!$A$1:$G$657</definedName>
    <definedName name="_xlnm.Print_Area" localSheetId="4">'ANEXO XVII- MEMORIA DE CALCULO'!$A$1:$I$577</definedName>
    <definedName name="_xlnm.Print_Area" localSheetId="7">'BDI 29%'!$A$1:$L$67</definedName>
    <definedName name="_xlnm.Print_Area" localSheetId="5">'ORÇAMENTO SEM BDI'!$A$1:$H$112</definedName>
    <definedName name="_xlnm.Print_Area" localSheetId="1">Plan1!$A$1:$E$48</definedName>
    <definedName name="_xlnm.Print_Area" localSheetId="12">Quantitativo!$A$1:$F$105</definedName>
    <definedName name="_xlnm.Print_Area" localSheetId="2">RESUMO!$A$1:$E$35</definedName>
    <definedName name="_xlnm.Print_Area" localSheetId="0">SINAPI!$B$6:$F$80</definedName>
    <definedName name="AUX" localSheetId="3">#REF!</definedName>
    <definedName name="AUX" localSheetId="12">#REF!</definedName>
    <definedName name="AUX">#REF!</definedName>
    <definedName name="Base">[1]Base!$C$4:$K$1374</definedName>
    <definedName name="BaseDados">[1]Base!$C$4:$E$1374</definedName>
    <definedName name="BDI" localSheetId="3">#REF!</definedName>
    <definedName name="BDI" localSheetId="12">#REF!</definedName>
    <definedName name="BDI" localSheetId="0">#REF!</definedName>
    <definedName name="BDI">#REF!</definedName>
    <definedName name="car" localSheetId="3">#REF!</definedName>
    <definedName name="car" localSheetId="12">#REF!</definedName>
    <definedName name="car">#REF!</definedName>
    <definedName name="CARNEIRO" localSheetId="3">#REF!</definedName>
    <definedName name="CARNEIRO" localSheetId="12">#REF!</definedName>
    <definedName name="CARNEIRO">#REF!</definedName>
    <definedName name="Cliente" localSheetId="3">#REF!</definedName>
    <definedName name="Cliente" localSheetId="4">#REF!</definedName>
    <definedName name="Cliente" localSheetId="5">#REF!</definedName>
    <definedName name="Cliente" localSheetId="12">#REF!</definedName>
    <definedName name="Cliente">#REF!</definedName>
    <definedName name="codigo" localSheetId="3">#REF!</definedName>
    <definedName name="codigo" localSheetId="12">#REF!</definedName>
    <definedName name="codigo">#REF!</definedName>
    <definedName name="CÓDIGO" localSheetId="3">#REF!</definedName>
    <definedName name="CÓDIGO" localSheetId="12">#REF!</definedName>
    <definedName name="CÓDIGO">#REF!</definedName>
    <definedName name="cronobp">'[2]PLANILHA FONTE'!$B$1:$G$290</definedName>
    <definedName name="CRONOGRAMA_PERDE" localSheetId="3">[3]!PassaExtenso</definedName>
    <definedName name="CRONOGRAMA_PERDE" localSheetId="12">[3]!PassaExtenso</definedName>
    <definedName name="CRONOGRAMA_PERDE">[3]!PassaExtenso</definedName>
    <definedName name="DIDO" localSheetId="3">#REF!</definedName>
    <definedName name="DIDO" localSheetId="12">#REF!</definedName>
    <definedName name="DIDO">#REF!</definedName>
    <definedName name="e" localSheetId="3">#REF!</definedName>
    <definedName name="e" localSheetId="12">#REF!</definedName>
    <definedName name="e" localSheetId="0">#REF!</definedName>
    <definedName name="e">#REF!</definedName>
    <definedName name="Fornecedor" localSheetId="3">#REF!</definedName>
    <definedName name="Fornecedor" localSheetId="12">#REF!</definedName>
    <definedName name="Fornecedor">#REF!</definedName>
    <definedName name="insumos">[4]INSUMOS!$A$1:$D$786</definedName>
    <definedName name="Item" localSheetId="3">#REF!</definedName>
    <definedName name="Item" localSheetId="4">#REF!</definedName>
    <definedName name="Item" localSheetId="5">#REF!</definedName>
    <definedName name="Item" localSheetId="12">#REF!</definedName>
    <definedName name="Item" localSheetId="0">#REF!</definedName>
    <definedName name="Item">#REF!</definedName>
    <definedName name="joa" localSheetId="3">#REF!</definedName>
    <definedName name="joa" localSheetId="12">#REF!</definedName>
    <definedName name="joa">#REF!</definedName>
    <definedName name="LALA" localSheetId="3">[3]!PassaExtenso</definedName>
    <definedName name="LALA" localSheetId="12">[3]!PassaExtenso</definedName>
    <definedName name="LALA">[3]!PassaExtenso</definedName>
    <definedName name="LALU" localSheetId="3">[3]!PassaExtenso</definedName>
    <definedName name="LALU" localSheetId="12">[3]!PassaExtenso</definedName>
    <definedName name="LALU">[3]!PassaExtenso</definedName>
    <definedName name="Local" localSheetId="3">#REF!</definedName>
    <definedName name="Local" localSheetId="4">#REF!</definedName>
    <definedName name="Local" localSheetId="5">#REF!</definedName>
    <definedName name="Local" localSheetId="12">#REF!</definedName>
    <definedName name="Local" localSheetId="0">#REF!</definedName>
    <definedName name="Local">#REF!</definedName>
    <definedName name="maia" localSheetId="3">#REF!</definedName>
    <definedName name="maia" localSheetId="12">#REF!</definedName>
    <definedName name="maia">#REF!</definedName>
    <definedName name="mel" localSheetId="3">#REF!</definedName>
    <definedName name="mel" localSheetId="12">#REF!</definedName>
    <definedName name="mel">#REF!</definedName>
    <definedName name="melissa">[5]Orcamento!$B$7:$C$268</definedName>
    <definedName name="orca">[5]Orcamento!$B$9:$C$149</definedName>
    <definedName name="PassaExtenso" localSheetId="3">[6]!PassaExtenso</definedName>
    <definedName name="PassaExtenso" localSheetId="12">[6]!PassaExtenso</definedName>
    <definedName name="PassaExtenso">[6]!PassaExtenso</definedName>
    <definedName name="plan" localSheetId="3">#REF!</definedName>
    <definedName name="plan" localSheetId="12">#REF!</definedName>
    <definedName name="plan">#REF!</definedName>
    <definedName name="Plano" localSheetId="3">#REF!</definedName>
    <definedName name="Plano" localSheetId="12">#REF!</definedName>
    <definedName name="Plano" localSheetId="0">#REF!</definedName>
    <definedName name="Plano">#REF!</definedName>
    <definedName name="SIIG" localSheetId="3">#REF!</definedName>
    <definedName name="SIIG" localSheetId="12">#REF!</definedName>
    <definedName name="SIIG" localSheetId="0">#REF!</definedName>
    <definedName name="SIIG">#REF!</definedName>
    <definedName name="TAB_">'[8]PLANILHA FONTE'!$B$2:$G$197</definedName>
    <definedName name="TABELA">'[7]PLANILHA FONTE'!$B$1:$G$290</definedName>
    <definedName name="TABELA_">'[8]PLANILHA FONTE'!$B$2:$G$197</definedName>
    <definedName name="TABELAA">'[8]PLANILHA FONTE'!$B$2:$G$197</definedName>
    <definedName name="_xlnm.Print_Titles" localSheetId="3">'ANEXO VI- Planilha Orçamentária'!$1:$8</definedName>
    <definedName name="_xlnm.Print_Titles" localSheetId="6">'ANEXO VII- CRONOG. FISICO-FINA.'!$1:$10</definedName>
    <definedName name="_xlnm.Print_Titles" localSheetId="11">'ANEXO XVI- COMP. DE CUSTO UNIT.'!$1:$7</definedName>
    <definedName name="_xlnm.Print_Titles" localSheetId="4">'ANEXO XVII- MEMORIA DE CALCULO'!$1:$6</definedName>
    <definedName name="_xlnm.Print_Titles" localSheetId="5">'ORÇAMENTO SEM BDI'!$1:$8</definedName>
    <definedName name="_xlnm.Print_Titles" localSheetId="12">Quantitativo!$1:$10</definedName>
    <definedName name="TONINHO" localSheetId="3">#REF!</definedName>
    <definedName name="TONINHO" localSheetId="12">#REF!</definedName>
    <definedName name="TONINHO">#REF!</definedName>
    <definedName name="Unidade" localSheetId="3">#REF!</definedName>
    <definedName name="Unidade" localSheetId="4">#REF!</definedName>
    <definedName name="Unidade" localSheetId="5">#REF!</definedName>
    <definedName name="Unidade" localSheetId="12">#REF!</definedName>
    <definedName name="Unidade">#REF!</definedName>
  </definedNames>
  <calcPr calcId="144525" fullCalcOnLoad="1"/>
</workbook>
</file>

<file path=xl/calcChain.xml><?xml version="1.0" encoding="utf-8"?>
<calcChain xmlns="http://schemas.openxmlformats.org/spreadsheetml/2006/main">
  <c r="D40" i="8" l="1"/>
  <c r="B4" i="4"/>
  <c r="B5" i="4"/>
  <c r="C10" i="4"/>
  <c r="I10" i="4"/>
  <c r="J10" i="4"/>
  <c r="C13" i="4"/>
  <c r="I13" i="4"/>
  <c r="J13" i="4"/>
  <c r="C14" i="4"/>
  <c r="I14" i="4"/>
  <c r="J14" i="4"/>
  <c r="C15" i="4"/>
  <c r="I15" i="4"/>
  <c r="J15" i="4"/>
  <c r="C16" i="4"/>
  <c r="I16" i="4"/>
  <c r="J16" i="4"/>
  <c r="C17" i="4"/>
  <c r="I17" i="4"/>
  <c r="J17" i="4"/>
  <c r="K17" i="4"/>
  <c r="C18" i="4"/>
  <c r="I18" i="4"/>
  <c r="J18" i="4"/>
  <c r="K18" i="4"/>
  <c r="C19" i="4"/>
  <c r="I19" i="4"/>
  <c r="J19" i="4"/>
  <c r="K19" i="4"/>
  <c r="C20" i="4"/>
  <c r="I20" i="4"/>
  <c r="J20" i="4"/>
  <c r="K20" i="4"/>
  <c r="C21" i="4"/>
  <c r="I21" i="4"/>
  <c r="J21" i="4"/>
  <c r="K21" i="4"/>
  <c r="C24" i="4"/>
  <c r="I24" i="4"/>
  <c r="J24" i="4"/>
  <c r="P24" i="4"/>
  <c r="R26" i="4"/>
  <c r="C27" i="4"/>
  <c r="I27" i="4"/>
  <c r="J27" i="4"/>
  <c r="K27" i="4"/>
  <c r="C28" i="4"/>
  <c r="I28" i="4"/>
  <c r="J28" i="4"/>
  <c r="K28" i="4"/>
  <c r="C29" i="4"/>
  <c r="I29" i="4"/>
  <c r="J29" i="4"/>
  <c r="K29" i="4"/>
  <c r="C32" i="4"/>
  <c r="I32" i="4"/>
  <c r="J32" i="4"/>
  <c r="C33" i="4"/>
  <c r="I33" i="4"/>
  <c r="J33" i="4"/>
  <c r="K33" i="4"/>
  <c r="C34" i="4"/>
  <c r="I34" i="4"/>
  <c r="J34" i="4"/>
  <c r="K34" i="4"/>
  <c r="C35" i="4"/>
  <c r="I35" i="4"/>
  <c r="J35" i="4"/>
  <c r="K35" i="4"/>
  <c r="C36" i="4"/>
  <c r="H36" i="4"/>
  <c r="J36" i="4"/>
  <c r="K36" i="4"/>
  <c r="C37" i="4"/>
  <c r="H37" i="4"/>
  <c r="J37" i="4"/>
  <c r="K37" i="4"/>
  <c r="R40" i="4"/>
  <c r="C41" i="4"/>
  <c r="I41" i="4"/>
  <c r="J41" i="4"/>
  <c r="K41" i="4"/>
  <c r="C42" i="4"/>
  <c r="I42" i="4"/>
  <c r="J42" i="4"/>
  <c r="K42" i="4"/>
  <c r="I43" i="4"/>
  <c r="J43" i="4"/>
  <c r="K43" i="4"/>
  <c r="I44" i="4"/>
  <c r="J44" i="4"/>
  <c r="K44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C55" i="4"/>
  <c r="I55" i="4"/>
  <c r="J55" i="4"/>
  <c r="C56" i="4"/>
  <c r="I56" i="4"/>
  <c r="J56" i="4"/>
  <c r="K56" i="4"/>
  <c r="C57" i="4"/>
  <c r="I57" i="4"/>
  <c r="J57" i="4"/>
  <c r="C60" i="4"/>
  <c r="I60" i="4"/>
  <c r="J60" i="4"/>
  <c r="R60" i="4"/>
  <c r="C61" i="4"/>
  <c r="I61" i="4"/>
  <c r="J61" i="4"/>
  <c r="K61" i="4"/>
  <c r="C62" i="4"/>
  <c r="I62" i="4"/>
  <c r="J62" i="4"/>
  <c r="R62" i="4"/>
  <c r="C63" i="4"/>
  <c r="I63" i="4"/>
  <c r="J63" i="4"/>
  <c r="K63" i="4"/>
  <c r="R66" i="4"/>
  <c r="C67" i="4"/>
  <c r="I67" i="4"/>
  <c r="J67" i="4"/>
  <c r="C68" i="4"/>
  <c r="I68" i="4"/>
  <c r="J68" i="4"/>
  <c r="K68" i="4"/>
  <c r="C69" i="4"/>
  <c r="I69" i="4"/>
  <c r="J69" i="4"/>
  <c r="K69" i="4"/>
  <c r="J70" i="4"/>
  <c r="K70" i="4"/>
  <c r="C71" i="4"/>
  <c r="I71" i="4"/>
  <c r="J71" i="4"/>
  <c r="K71" i="4"/>
  <c r="I72" i="4"/>
  <c r="J72" i="4"/>
  <c r="K72" i="4"/>
  <c r="I73" i="4"/>
  <c r="J73" i="4"/>
  <c r="K73" i="4"/>
  <c r="I74" i="4"/>
  <c r="J74" i="4"/>
  <c r="K74" i="4"/>
  <c r="I75" i="4"/>
  <c r="J75" i="4"/>
  <c r="K75" i="4"/>
  <c r="I76" i="4"/>
  <c r="J76" i="4"/>
  <c r="K76" i="4"/>
  <c r="J77" i="4"/>
  <c r="K77" i="4"/>
  <c r="I78" i="4"/>
  <c r="J78" i="4"/>
  <c r="K78" i="4"/>
  <c r="I79" i="4"/>
  <c r="J79" i="4"/>
  <c r="K79" i="4"/>
  <c r="I80" i="4"/>
  <c r="J80" i="4"/>
  <c r="K80" i="4"/>
  <c r="J81" i="4"/>
  <c r="K81" i="4"/>
  <c r="I82" i="4"/>
  <c r="J82" i="4"/>
  <c r="K82" i="4"/>
  <c r="I83" i="4"/>
  <c r="J83" i="4"/>
  <c r="K83" i="4"/>
  <c r="I84" i="4"/>
  <c r="J84" i="4"/>
  <c r="K84" i="4"/>
  <c r="I85" i="4"/>
  <c r="J85" i="4"/>
  <c r="K85" i="4"/>
  <c r="I86" i="4"/>
  <c r="J86" i="4"/>
  <c r="K86" i="4"/>
  <c r="R88" i="4"/>
  <c r="C89" i="4"/>
  <c r="I89" i="4"/>
  <c r="J89" i="4"/>
  <c r="K89" i="4"/>
  <c r="C90" i="4"/>
  <c r="I90" i="4"/>
  <c r="J90" i="4"/>
  <c r="K90" i="4"/>
  <c r="C91" i="4"/>
  <c r="I91" i="4"/>
  <c r="J91" i="4"/>
  <c r="K91" i="4"/>
  <c r="C92" i="4"/>
  <c r="I92" i="4"/>
  <c r="J92" i="4"/>
  <c r="K92" i="4"/>
  <c r="C93" i="4"/>
  <c r="I93" i="4"/>
  <c r="J93" i="4"/>
  <c r="K93" i="4"/>
  <c r="I103" i="4"/>
  <c r="A46" i="7"/>
  <c r="A111" i="4"/>
  <c r="A112" i="4"/>
  <c r="A113" i="4"/>
  <c r="A3" i="7"/>
  <c r="B3" i="7"/>
  <c r="F3" i="7"/>
  <c r="G3" i="7"/>
  <c r="A4" i="7"/>
  <c r="B4" i="7"/>
  <c r="F4" i="7"/>
  <c r="D14" i="7"/>
  <c r="F14" i="7"/>
  <c r="G14" i="7"/>
  <c r="A3" i="9"/>
  <c r="B3" i="9"/>
  <c r="D15" i="9"/>
  <c r="D13" i="9"/>
  <c r="D16" i="9"/>
  <c r="D18" i="9"/>
  <c r="D19" i="9"/>
  <c r="D21" i="9"/>
  <c r="D20" i="9"/>
  <c r="D22" i="9"/>
  <c r="D23" i="9"/>
  <c r="D25" i="9"/>
  <c r="D26" i="9"/>
  <c r="D27" i="9"/>
  <c r="D32" i="9"/>
  <c r="A37" i="9"/>
  <c r="A3" i="12"/>
  <c r="G10" i="12"/>
  <c r="G11" i="12"/>
  <c r="J13" i="12"/>
  <c r="F13" i="12"/>
  <c r="G13" i="12"/>
  <c r="J14" i="12"/>
  <c r="F14" i="12"/>
  <c r="G14" i="12"/>
  <c r="G19" i="12"/>
  <c r="G24" i="12"/>
  <c r="G25" i="12"/>
  <c r="G26" i="12"/>
  <c r="G27" i="12"/>
  <c r="G28" i="12"/>
  <c r="G29" i="12"/>
  <c r="G30" i="12"/>
  <c r="G34" i="12"/>
  <c r="G36" i="12"/>
  <c r="G38" i="12"/>
  <c r="G35" i="12"/>
  <c r="G41" i="12"/>
  <c r="G43" i="12"/>
  <c r="F50" i="12"/>
  <c r="G50" i="12"/>
  <c r="G54" i="12"/>
  <c r="G56" i="12"/>
  <c r="G58" i="12"/>
  <c r="G60" i="12"/>
  <c r="G67" i="12"/>
  <c r="G68" i="12"/>
  <c r="F48" i="12"/>
  <c r="G63" i="12"/>
  <c r="G65" i="12"/>
  <c r="G72" i="12"/>
  <c r="G73" i="12"/>
  <c r="M73" i="12"/>
  <c r="G74" i="12"/>
  <c r="G75" i="12"/>
  <c r="G76" i="12"/>
  <c r="G78" i="12"/>
  <c r="G81" i="12"/>
  <c r="G83" i="12"/>
  <c r="G79" i="12"/>
  <c r="G87" i="12"/>
  <c r="G89" i="12"/>
  <c r="G88" i="12"/>
  <c r="G97" i="12"/>
  <c r="G98" i="12"/>
  <c r="G99" i="12"/>
  <c r="G100" i="12"/>
  <c r="M100" i="12"/>
  <c r="G101" i="12"/>
  <c r="G104" i="12"/>
  <c r="G107" i="12"/>
  <c r="G109" i="12"/>
  <c r="G105" i="12"/>
  <c r="G113" i="12"/>
  <c r="G114" i="12"/>
  <c r="G115" i="12"/>
  <c r="G123" i="12"/>
  <c r="G126" i="12"/>
  <c r="G124" i="12"/>
  <c r="G125" i="12"/>
  <c r="G128" i="12"/>
  <c r="G129" i="12"/>
  <c r="G131" i="12"/>
  <c r="G133" i="12"/>
  <c r="G137" i="12"/>
  <c r="G139" i="12"/>
  <c r="G138" i="12"/>
  <c r="G147" i="12"/>
  <c r="G150" i="12"/>
  <c r="G148" i="12"/>
  <c r="G149" i="12"/>
  <c r="G152" i="12"/>
  <c r="G155" i="12"/>
  <c r="G157" i="12"/>
  <c r="G153" i="12"/>
  <c r="G161" i="12"/>
  <c r="G163" i="12"/>
  <c r="G162" i="12"/>
  <c r="G171" i="12"/>
  <c r="G172" i="12"/>
  <c r="G174" i="12"/>
  <c r="G173" i="12"/>
  <c r="G176" i="12"/>
  <c r="G179" i="12"/>
  <c r="G181" i="12"/>
  <c r="G177" i="12"/>
  <c r="G185" i="12"/>
  <c r="G186" i="12"/>
  <c r="G187" i="12"/>
  <c r="G195" i="12"/>
  <c r="G196" i="12"/>
  <c r="G197" i="12"/>
  <c r="G200" i="12"/>
  <c r="G203" i="12"/>
  <c r="G205" i="12"/>
  <c r="G201" i="12"/>
  <c r="G209" i="12"/>
  <c r="G211" i="12"/>
  <c r="G210" i="12"/>
  <c r="G219" i="12"/>
  <c r="G221" i="12"/>
  <c r="G220" i="12"/>
  <c r="G223" i="12"/>
  <c r="G224" i="12"/>
  <c r="G225" i="12"/>
  <c r="G226" i="12"/>
  <c r="G234" i="12"/>
  <c r="G235" i="12"/>
  <c r="G236" i="12"/>
  <c r="G244" i="12"/>
  <c r="G248" i="12"/>
  <c r="G245" i="12"/>
  <c r="M245" i="12"/>
  <c r="G250" i="12"/>
  <c r="G251" i="12"/>
  <c r="G253" i="12"/>
  <c r="G255" i="12"/>
  <c r="G259" i="12"/>
  <c r="G261" i="12"/>
  <c r="G273" i="12"/>
  <c r="G277" i="12"/>
  <c r="G274" i="12"/>
  <c r="M274" i="12"/>
  <c r="G279" i="12"/>
  <c r="G280" i="12"/>
  <c r="G288" i="12"/>
  <c r="G290" i="12"/>
  <c r="G302" i="12"/>
  <c r="G308" i="12"/>
  <c r="G303" i="12"/>
  <c r="G304" i="12"/>
  <c r="G305" i="12"/>
  <c r="M305" i="12"/>
  <c r="G310" i="12"/>
  <c r="G311" i="12"/>
  <c r="G313" i="12"/>
  <c r="G315" i="12"/>
  <c r="G325" i="12"/>
  <c r="G326" i="12"/>
  <c r="G327" i="12"/>
  <c r="G332" i="12"/>
  <c r="G333" i="12"/>
  <c r="G335" i="12"/>
  <c r="G337" i="12"/>
  <c r="G341" i="12"/>
  <c r="G350" i="12"/>
  <c r="G351" i="12"/>
  <c r="G354" i="12"/>
  <c r="G352" i="12"/>
  <c r="G357" i="12"/>
  <c r="G360" i="12"/>
  <c r="G362" i="12"/>
  <c r="G358" i="12"/>
  <c r="G366" i="12"/>
  <c r="G374" i="12"/>
  <c r="G375" i="12"/>
  <c r="E376" i="12"/>
  <c r="G383" i="12"/>
  <c r="G385" i="12"/>
  <c r="G388" i="12"/>
  <c r="G390" i="12"/>
  <c r="G398" i="12"/>
  <c r="G399" i="12"/>
  <c r="G400" i="12"/>
  <c r="G401" i="12"/>
  <c r="G402" i="12"/>
  <c r="G403" i="12"/>
  <c r="G404" i="12"/>
  <c r="G405" i="12"/>
  <c r="G406" i="12"/>
  <c r="G407" i="12"/>
  <c r="G409" i="12"/>
  <c r="G411" i="12"/>
  <c r="G412" i="12"/>
  <c r="G413" i="12"/>
  <c r="G415" i="12"/>
  <c r="G418" i="12"/>
  <c r="G420" i="12"/>
  <c r="G429" i="12"/>
  <c r="G432" i="12"/>
  <c r="G435" i="12"/>
  <c r="G438" i="12"/>
  <c r="G440" i="12"/>
  <c r="G436" i="12"/>
  <c r="G444" i="12"/>
  <c r="G453" i="12"/>
  <c r="G454" i="12"/>
  <c r="G455" i="12"/>
  <c r="G456" i="12"/>
  <c r="G457" i="12"/>
  <c r="G462" i="12"/>
  <c r="G465" i="12"/>
  <c r="G467" i="12"/>
  <c r="G463" i="12"/>
  <c r="G470" i="12"/>
  <c r="G472" i="12"/>
  <c r="G481" i="12"/>
  <c r="G482" i="12"/>
  <c r="G483" i="12"/>
  <c r="G484" i="12"/>
  <c r="G485" i="12"/>
  <c r="G490" i="12"/>
  <c r="G491" i="12"/>
  <c r="G493" i="12"/>
  <c r="G495" i="12"/>
  <c r="G498" i="12"/>
  <c r="G501" i="12"/>
  <c r="G499" i="12"/>
  <c r="F509" i="12"/>
  <c r="G509" i="12"/>
  <c r="G513" i="12"/>
  <c r="O509" i="12"/>
  <c r="G510" i="12"/>
  <c r="G511" i="12"/>
  <c r="G515" i="12"/>
  <c r="G518" i="12"/>
  <c r="G520" i="12"/>
  <c r="G516" i="12"/>
  <c r="G517" i="12"/>
  <c r="F528" i="12"/>
  <c r="G528" i="12"/>
  <c r="G534" i="12"/>
  <c r="N528" i="12"/>
  <c r="G529" i="12"/>
  <c r="G530" i="12"/>
  <c r="G536" i="12"/>
  <c r="G537" i="12"/>
  <c r="G539" i="12"/>
  <c r="G541" i="12"/>
  <c r="G544" i="12"/>
  <c r="G546" i="12"/>
  <c r="G554" i="12"/>
  <c r="G558" i="12"/>
  <c r="G555" i="12"/>
  <c r="G556" i="12"/>
  <c r="G560" i="12"/>
  <c r="G561" i="12"/>
  <c r="G562" i="12"/>
  <c r="G573" i="12"/>
  <c r="G574" i="12"/>
  <c r="G575" i="12"/>
  <c r="G576" i="12"/>
  <c r="G577" i="12"/>
  <c r="L578" i="12"/>
  <c r="F578" i="12"/>
  <c r="G578" i="12"/>
  <c r="G582" i="12"/>
  <c r="G585" i="12"/>
  <c r="G587" i="12"/>
  <c r="G583" i="12"/>
  <c r="G590" i="12"/>
  <c r="G592" i="12"/>
  <c r="C597" i="12"/>
  <c r="C598" i="12"/>
  <c r="G604" i="12"/>
  <c r="G608" i="12"/>
  <c r="G605" i="12"/>
  <c r="G606" i="12"/>
  <c r="G611" i="12"/>
  <c r="G614" i="12"/>
  <c r="G616" i="12"/>
  <c r="G612" i="12"/>
  <c r="G620" i="12"/>
  <c r="G629" i="12"/>
  <c r="G632" i="12"/>
  <c r="G630" i="12"/>
  <c r="G635" i="12"/>
  <c r="G637" i="12"/>
  <c r="G639" i="12"/>
  <c r="G643" i="12"/>
  <c r="A651" i="12"/>
  <c r="B3" i="5"/>
  <c r="G3" i="5"/>
  <c r="B4" i="5"/>
  <c r="I10" i="5"/>
  <c r="I11" i="5"/>
  <c r="I12" i="5"/>
  <c r="I9" i="5"/>
  <c r="C16" i="5"/>
  <c r="D16" i="5"/>
  <c r="K16" i="5"/>
  <c r="P16" i="5"/>
  <c r="G13" i="6"/>
  <c r="F18" i="5"/>
  <c r="I18" i="5"/>
  <c r="I20" i="5"/>
  <c r="I16" i="5"/>
  <c r="I19" i="5"/>
  <c r="C22" i="5"/>
  <c r="D22" i="5"/>
  <c r="E14" i="6"/>
  <c r="K22" i="5"/>
  <c r="P22" i="5"/>
  <c r="I24" i="5"/>
  <c r="I26" i="5"/>
  <c r="I22" i="5"/>
  <c r="I27" i="5"/>
  <c r="C28" i="5"/>
  <c r="D28" i="5"/>
  <c r="K28" i="5"/>
  <c r="P28" i="5"/>
  <c r="I30" i="5"/>
  <c r="I32" i="5"/>
  <c r="I28" i="5"/>
  <c r="F15" i="6"/>
  <c r="C35" i="5"/>
  <c r="D35" i="5"/>
  <c r="K35" i="5"/>
  <c r="P35" i="5"/>
  <c r="I37" i="5"/>
  <c r="I39" i="5"/>
  <c r="I35" i="5"/>
  <c r="F16" i="6"/>
  <c r="I40" i="5"/>
  <c r="D41" i="5"/>
  <c r="I43" i="5"/>
  <c r="I45" i="5"/>
  <c r="I41" i="5"/>
  <c r="C47" i="5"/>
  <c r="D18" i="6"/>
  <c r="D47" i="5"/>
  <c r="K47" i="5"/>
  <c r="P47" i="5"/>
  <c r="I49" i="5"/>
  <c r="I51" i="5"/>
  <c r="I47" i="5"/>
  <c r="C53" i="5"/>
  <c r="D53" i="5"/>
  <c r="K53" i="5"/>
  <c r="P53" i="5"/>
  <c r="I55" i="5"/>
  <c r="I56" i="5"/>
  <c r="I57" i="5"/>
  <c r="C61" i="5"/>
  <c r="D61" i="5"/>
  <c r="K61" i="5"/>
  <c r="I63" i="5"/>
  <c r="E64" i="5"/>
  <c r="I64" i="5"/>
  <c r="E65" i="5"/>
  <c r="I65" i="5"/>
  <c r="I66" i="5"/>
  <c r="I67" i="5"/>
  <c r="I68" i="5"/>
  <c r="E69" i="5"/>
  <c r="I69" i="5"/>
  <c r="C73" i="5"/>
  <c r="D73" i="5"/>
  <c r="K73" i="5"/>
  <c r="I75" i="5"/>
  <c r="I76" i="5"/>
  <c r="I77" i="5"/>
  <c r="I78" i="5"/>
  <c r="D83" i="5"/>
  <c r="I86" i="5"/>
  <c r="I90" i="5"/>
  <c r="I88" i="5"/>
  <c r="I89" i="5"/>
  <c r="C93" i="5"/>
  <c r="D93" i="5"/>
  <c r="E27" i="6"/>
  <c r="K93" i="5"/>
  <c r="P93" i="5"/>
  <c r="E96" i="5"/>
  <c r="I96" i="5"/>
  <c r="F96" i="5"/>
  <c r="E97" i="5"/>
  <c r="I97" i="5"/>
  <c r="F97" i="5"/>
  <c r="E98" i="5"/>
  <c r="I98" i="5"/>
  <c r="F98" i="5"/>
  <c r="E100" i="5"/>
  <c r="I100" i="5"/>
  <c r="F100" i="5"/>
  <c r="E101" i="5"/>
  <c r="I101" i="5"/>
  <c r="F101" i="5"/>
  <c r="E102" i="5"/>
  <c r="I102" i="5"/>
  <c r="F102" i="5"/>
  <c r="E104" i="5"/>
  <c r="I104" i="5"/>
  <c r="F104" i="5"/>
  <c r="C108" i="5"/>
  <c r="D108" i="5"/>
  <c r="K108" i="5"/>
  <c r="P108" i="5"/>
  <c r="E111" i="5"/>
  <c r="I111" i="5"/>
  <c r="F111" i="5"/>
  <c r="E112" i="5"/>
  <c r="I112" i="5"/>
  <c r="F112" i="5"/>
  <c r="E113" i="5"/>
  <c r="F113" i="5"/>
  <c r="I113" i="5"/>
  <c r="E115" i="5"/>
  <c r="F115" i="5"/>
  <c r="I115" i="5"/>
  <c r="E116" i="5"/>
  <c r="I116" i="5"/>
  <c r="F116" i="5"/>
  <c r="E117" i="5"/>
  <c r="I117" i="5"/>
  <c r="F117" i="5"/>
  <c r="E119" i="5"/>
  <c r="F119" i="5"/>
  <c r="I119" i="5"/>
  <c r="C123" i="5"/>
  <c r="D123" i="5"/>
  <c r="K123" i="5"/>
  <c r="P123" i="5"/>
  <c r="I124" i="5"/>
  <c r="I129" i="5"/>
  <c r="I132" i="5"/>
  <c r="C133" i="5"/>
  <c r="D133" i="5"/>
  <c r="K133" i="5"/>
  <c r="P133" i="5"/>
  <c r="C141" i="5"/>
  <c r="D141" i="5"/>
  <c r="K141" i="5"/>
  <c r="P141" i="5"/>
  <c r="I144" i="5"/>
  <c r="C147" i="5"/>
  <c r="D147" i="5"/>
  <c r="K147" i="5"/>
  <c r="P147" i="5"/>
  <c r="I150" i="5"/>
  <c r="C153" i="5"/>
  <c r="D35" i="6"/>
  <c r="D153" i="5"/>
  <c r="K153" i="5"/>
  <c r="P153" i="5"/>
  <c r="G35" i="6"/>
  <c r="I154" i="5"/>
  <c r="C161" i="5"/>
  <c r="D161" i="5"/>
  <c r="I162" i="5"/>
  <c r="I163" i="5"/>
  <c r="C168" i="5"/>
  <c r="D168" i="5"/>
  <c r="E40" i="13"/>
  <c r="I169" i="5"/>
  <c r="I170" i="5"/>
  <c r="C178" i="5"/>
  <c r="D178" i="5"/>
  <c r="K178" i="5"/>
  <c r="P178" i="5"/>
  <c r="G41" i="6"/>
  <c r="E181" i="5"/>
  <c r="I181" i="5"/>
  <c r="F181" i="5"/>
  <c r="E182" i="5"/>
  <c r="I182" i="5"/>
  <c r="F182" i="5"/>
  <c r="E183" i="5"/>
  <c r="F183" i="5"/>
  <c r="I184" i="5"/>
  <c r="E185" i="5"/>
  <c r="I185" i="5"/>
  <c r="F185" i="5"/>
  <c r="E186" i="5"/>
  <c r="I186" i="5"/>
  <c r="F186" i="5"/>
  <c r="E187" i="5"/>
  <c r="I187" i="5"/>
  <c r="F187" i="5"/>
  <c r="I188" i="5"/>
  <c r="E189" i="5"/>
  <c r="I189" i="5"/>
  <c r="F189" i="5"/>
  <c r="C193" i="5"/>
  <c r="D193" i="5"/>
  <c r="K193" i="5"/>
  <c r="P193" i="5"/>
  <c r="G42" i="6"/>
  <c r="C199" i="5"/>
  <c r="D199" i="5"/>
  <c r="K199" i="5"/>
  <c r="P199" i="5"/>
  <c r="I201" i="5"/>
  <c r="I202" i="5"/>
  <c r="I205" i="5"/>
  <c r="I199" i="5"/>
  <c r="I203" i="5"/>
  <c r="C207" i="5"/>
  <c r="D207" i="5"/>
  <c r="K207" i="5"/>
  <c r="P207" i="5"/>
  <c r="I209" i="5"/>
  <c r="I210" i="5"/>
  <c r="I211" i="5"/>
  <c r="I218" i="5"/>
  <c r="I219" i="5"/>
  <c r="I220" i="5"/>
  <c r="I221" i="5"/>
  <c r="I222" i="5"/>
  <c r="I223" i="5"/>
  <c r="I224" i="5"/>
  <c r="I225" i="5"/>
  <c r="I227" i="5"/>
  <c r="I228" i="5"/>
  <c r="I229" i="5"/>
  <c r="I234" i="5"/>
  <c r="H235" i="5"/>
  <c r="I235" i="5"/>
  <c r="H236" i="5"/>
  <c r="I236" i="5"/>
  <c r="H237" i="5"/>
  <c r="I237" i="5"/>
  <c r="I238" i="5"/>
  <c r="H239" i="5"/>
  <c r="I239" i="5"/>
  <c r="H240" i="5"/>
  <c r="I240" i="5"/>
  <c r="H241" i="5"/>
  <c r="I241" i="5"/>
  <c r="I243" i="5"/>
  <c r="I244" i="5"/>
  <c r="I245" i="5"/>
  <c r="I251" i="5"/>
  <c r="I252" i="5"/>
  <c r="I261" i="5"/>
  <c r="I248" i="5"/>
  <c r="I253" i="5"/>
  <c r="I254" i="5"/>
  <c r="I255" i="5"/>
  <c r="I256" i="5"/>
  <c r="I257" i="5"/>
  <c r="I258" i="5"/>
  <c r="I259" i="5"/>
  <c r="I260" i="5"/>
  <c r="I266" i="5"/>
  <c r="I267" i="5"/>
  <c r="I268" i="5"/>
  <c r="I269" i="5"/>
  <c r="I270" i="5"/>
  <c r="I271" i="5"/>
  <c r="I272" i="5"/>
  <c r="I273" i="5"/>
  <c r="I274" i="5"/>
  <c r="I275" i="5"/>
  <c r="I281" i="5"/>
  <c r="I282" i="5"/>
  <c r="I289" i="5"/>
  <c r="I278" i="5"/>
  <c r="F50" i="6"/>
  <c r="I283" i="5"/>
  <c r="I284" i="5"/>
  <c r="I285" i="5"/>
  <c r="I286" i="5"/>
  <c r="I287" i="5"/>
  <c r="I288" i="5"/>
  <c r="I293" i="5"/>
  <c r="I294" i="5"/>
  <c r="I295" i="5"/>
  <c r="I296" i="5"/>
  <c r="I297" i="5"/>
  <c r="I298" i="5"/>
  <c r="I299" i="5"/>
  <c r="C302" i="5"/>
  <c r="D302" i="5"/>
  <c r="K302" i="5"/>
  <c r="P302" i="5"/>
  <c r="G52" i="6"/>
  <c r="I304" i="5"/>
  <c r="I305" i="5"/>
  <c r="I306" i="5"/>
  <c r="I307" i="5"/>
  <c r="I308" i="5"/>
  <c r="I309" i="5"/>
  <c r="I310" i="5"/>
  <c r="I311" i="5"/>
  <c r="I312" i="5"/>
  <c r="I313" i="5"/>
  <c r="I314" i="5"/>
  <c r="I321" i="5"/>
  <c r="I325" i="5"/>
  <c r="I319" i="5"/>
  <c r="F55" i="6"/>
  <c r="I322" i="5"/>
  <c r="I323" i="5"/>
  <c r="I324" i="5"/>
  <c r="I330" i="5"/>
  <c r="I331" i="5"/>
  <c r="I334" i="5"/>
  <c r="I328" i="5"/>
  <c r="F55" i="13"/>
  <c r="I332" i="5"/>
  <c r="I333" i="5"/>
  <c r="I339" i="5"/>
  <c r="I340" i="5"/>
  <c r="I341" i="5"/>
  <c r="I342" i="5"/>
  <c r="I337" i="5"/>
  <c r="I348" i="5"/>
  <c r="I349" i="5"/>
  <c r="I350" i="5"/>
  <c r="I351" i="5"/>
  <c r="I352" i="5"/>
  <c r="I353" i="5"/>
  <c r="I354" i="5"/>
  <c r="I355" i="5"/>
  <c r="I356" i="5"/>
  <c r="F357" i="5"/>
  <c r="I357" i="5"/>
  <c r="G357" i="5"/>
  <c r="I358" i="5"/>
  <c r="I364" i="5"/>
  <c r="I365" i="5"/>
  <c r="I371" i="5"/>
  <c r="I375" i="5"/>
  <c r="I376" i="5"/>
  <c r="I378" i="5"/>
  <c r="I374" i="5"/>
  <c r="F63" i="6"/>
  <c r="I377" i="5"/>
  <c r="I384" i="5"/>
  <c r="I385" i="5"/>
  <c r="I386" i="5"/>
  <c r="I387" i="5"/>
  <c r="I392" i="5"/>
  <c r="I393" i="5"/>
  <c r="I394" i="5"/>
  <c r="I395" i="5"/>
  <c r="I400" i="5"/>
  <c r="I401" i="5"/>
  <c r="I404" i="5"/>
  <c r="I398" i="5"/>
  <c r="I402" i="5"/>
  <c r="I403" i="5"/>
  <c r="I409" i="5"/>
  <c r="I410" i="5"/>
  <c r="E411" i="5"/>
  <c r="I411" i="5"/>
  <c r="I413" i="5"/>
  <c r="I407" i="5"/>
  <c r="I412" i="5"/>
  <c r="E417" i="5"/>
  <c r="I417" i="5"/>
  <c r="E418" i="5"/>
  <c r="I418" i="5"/>
  <c r="I419" i="5"/>
  <c r="I427" i="5"/>
  <c r="I428" i="5"/>
  <c r="E429" i="5"/>
  <c r="I429" i="5"/>
  <c r="I430" i="5"/>
  <c r="I431" i="5"/>
  <c r="I425" i="5"/>
  <c r="I435" i="5"/>
  <c r="I436" i="5"/>
  <c r="I437" i="5"/>
  <c r="I438" i="5"/>
  <c r="E443" i="5"/>
  <c r="I443" i="5"/>
  <c r="E444" i="5"/>
  <c r="I444" i="5"/>
  <c r="E445" i="5"/>
  <c r="E446" i="5"/>
  <c r="I446" i="5"/>
  <c r="E447" i="5"/>
  <c r="I447" i="5"/>
  <c r="I448" i="5"/>
  <c r="I453" i="5"/>
  <c r="I454" i="5"/>
  <c r="E461" i="5"/>
  <c r="I461" i="5"/>
  <c r="E462" i="5"/>
  <c r="I462" i="5"/>
  <c r="I463" i="5"/>
  <c r="E471" i="5"/>
  <c r="I471" i="5"/>
  <c r="I477" i="5"/>
  <c r="I478" i="5"/>
  <c r="I481" i="5"/>
  <c r="I475" i="5"/>
  <c r="I479" i="5"/>
  <c r="I486" i="5"/>
  <c r="I489" i="5"/>
  <c r="I484" i="5"/>
  <c r="I487" i="5"/>
  <c r="I493" i="5"/>
  <c r="I494" i="5"/>
  <c r="I497" i="5"/>
  <c r="I491" i="5"/>
  <c r="I495" i="5"/>
  <c r="I496" i="5"/>
  <c r="I501" i="5"/>
  <c r="I502" i="5"/>
  <c r="I503" i="5"/>
  <c r="I504" i="5"/>
  <c r="I509" i="5"/>
  <c r="I510" i="5"/>
  <c r="I511" i="5"/>
  <c r="I518" i="5"/>
  <c r="I519" i="5"/>
  <c r="I522" i="5"/>
  <c r="I515" i="5"/>
  <c r="I520" i="5"/>
  <c r="I521" i="5"/>
  <c r="I527" i="5"/>
  <c r="I528" i="5"/>
  <c r="I529" i="5"/>
  <c r="I535" i="5"/>
  <c r="I536" i="5"/>
  <c r="I538" i="5"/>
  <c r="I533" i="5"/>
  <c r="I537" i="5"/>
  <c r="H543" i="5"/>
  <c r="I543" i="5"/>
  <c r="I546" i="5"/>
  <c r="I541" i="5"/>
  <c r="H544" i="5"/>
  <c r="I544" i="5"/>
  <c r="I550" i="5"/>
  <c r="I551" i="5"/>
  <c r="I552" i="5"/>
  <c r="I553" i="5"/>
  <c r="I554" i="5"/>
  <c r="I560" i="5"/>
  <c r="I561" i="5"/>
  <c r="I562" i="5"/>
  <c r="I563" i="5"/>
  <c r="I567" i="5"/>
  <c r="I558" i="5"/>
  <c r="F93" i="6"/>
  <c r="I564" i="5"/>
  <c r="I565" i="5"/>
  <c r="I568" i="5"/>
  <c r="A572" i="5"/>
  <c r="C27" i="8"/>
  <c r="D43" i="8"/>
  <c r="D41" i="8"/>
  <c r="D42" i="8"/>
  <c r="A4" i="10"/>
  <c r="B4" i="10"/>
  <c r="C16" i="10"/>
  <c r="C45" i="10"/>
  <c r="F44" i="10"/>
  <c r="D45" i="10"/>
  <c r="E45" i="10"/>
  <c r="A48" i="10"/>
  <c r="A3" i="11"/>
  <c r="B3" i="11"/>
  <c r="C16" i="11"/>
  <c r="C45" i="11"/>
  <c r="F43" i="11"/>
  <c r="F45" i="11"/>
  <c r="D45" i="11"/>
  <c r="E45" i="11"/>
  <c r="A48" i="11"/>
  <c r="B4" i="6"/>
  <c r="G4" i="6"/>
  <c r="B5" i="6"/>
  <c r="D9" i="6"/>
  <c r="B10" i="6"/>
  <c r="C10" i="6"/>
  <c r="F10" i="6"/>
  <c r="D12" i="6"/>
  <c r="B13" i="6"/>
  <c r="C13" i="6"/>
  <c r="D13" i="6"/>
  <c r="E13" i="6"/>
  <c r="F13" i="6"/>
  <c r="B14" i="6"/>
  <c r="C14" i="6"/>
  <c r="D14" i="6"/>
  <c r="F14" i="6"/>
  <c r="G14" i="6"/>
  <c r="B15" i="6"/>
  <c r="C15" i="6"/>
  <c r="D15" i="6"/>
  <c r="E15" i="6"/>
  <c r="G15" i="6"/>
  <c r="B16" i="6"/>
  <c r="C16" i="6"/>
  <c r="D16" i="6"/>
  <c r="E16" i="6"/>
  <c r="G16" i="6"/>
  <c r="B17" i="6"/>
  <c r="C17" i="6"/>
  <c r="E17" i="6"/>
  <c r="F17" i="6"/>
  <c r="B18" i="6"/>
  <c r="C18" i="6"/>
  <c r="E18" i="6"/>
  <c r="G18" i="6"/>
  <c r="B19" i="6"/>
  <c r="C19" i="6"/>
  <c r="D19" i="6"/>
  <c r="E19" i="6"/>
  <c r="G19" i="6"/>
  <c r="B20" i="6"/>
  <c r="C20" i="6"/>
  <c r="D20" i="6"/>
  <c r="E20" i="6"/>
  <c r="B21" i="6"/>
  <c r="C21" i="6"/>
  <c r="D21" i="6"/>
  <c r="E21" i="6"/>
  <c r="D23" i="6"/>
  <c r="B24" i="6"/>
  <c r="C24" i="6"/>
  <c r="E24" i="6"/>
  <c r="D26" i="6"/>
  <c r="B27" i="6"/>
  <c r="C27" i="6"/>
  <c r="D27" i="6"/>
  <c r="G27" i="6"/>
  <c r="B28" i="6"/>
  <c r="C28" i="6"/>
  <c r="D28" i="6"/>
  <c r="E28" i="6"/>
  <c r="G28" i="6"/>
  <c r="B29" i="6"/>
  <c r="C29" i="6"/>
  <c r="D29" i="6"/>
  <c r="E29" i="6"/>
  <c r="G29" i="6"/>
  <c r="D31" i="6"/>
  <c r="B32" i="6"/>
  <c r="C32" i="6"/>
  <c r="D32" i="6"/>
  <c r="E32" i="6"/>
  <c r="G32" i="6"/>
  <c r="B33" i="6"/>
  <c r="C33" i="6"/>
  <c r="D33" i="6"/>
  <c r="E33" i="6"/>
  <c r="G33" i="6"/>
  <c r="B34" i="6"/>
  <c r="C34" i="6"/>
  <c r="D34" i="6"/>
  <c r="E34" i="6"/>
  <c r="G34" i="6"/>
  <c r="B35" i="6"/>
  <c r="C35" i="6"/>
  <c r="E35" i="6"/>
  <c r="B36" i="6"/>
  <c r="C36" i="6"/>
  <c r="D36" i="6"/>
  <c r="E36" i="6"/>
  <c r="B37" i="6"/>
  <c r="C37" i="6"/>
  <c r="D37" i="6"/>
  <c r="D39" i="6"/>
  <c r="C40" i="6"/>
  <c r="D40" i="6"/>
  <c r="E40" i="6"/>
  <c r="F40" i="6"/>
  <c r="B41" i="6"/>
  <c r="C41" i="6"/>
  <c r="D41" i="6"/>
  <c r="E41" i="6"/>
  <c r="B42" i="6"/>
  <c r="C42" i="6"/>
  <c r="D42" i="6"/>
  <c r="E42" i="6"/>
  <c r="B43" i="6"/>
  <c r="C43" i="6"/>
  <c r="D43" i="6"/>
  <c r="E43" i="6"/>
  <c r="G43" i="6"/>
  <c r="B44" i="6"/>
  <c r="C44" i="6"/>
  <c r="D44" i="6"/>
  <c r="E44" i="6"/>
  <c r="G44" i="6"/>
  <c r="C45" i="6"/>
  <c r="D45" i="6"/>
  <c r="E45" i="6"/>
  <c r="F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D52" i="6"/>
  <c r="E52" i="6"/>
  <c r="D54" i="6"/>
  <c r="B55" i="6"/>
  <c r="C55" i="6"/>
  <c r="B56" i="6"/>
  <c r="C56" i="6"/>
  <c r="B57" i="6"/>
  <c r="C57" i="6"/>
  <c r="D59" i="6"/>
  <c r="B60" i="6"/>
  <c r="C60" i="6"/>
  <c r="B61" i="6"/>
  <c r="C61" i="6"/>
  <c r="B62" i="6"/>
  <c r="C62" i="6"/>
  <c r="B63" i="6"/>
  <c r="C63" i="6"/>
  <c r="D65" i="6"/>
  <c r="C66" i="6"/>
  <c r="D66" i="6"/>
  <c r="E66" i="6"/>
  <c r="B67" i="6"/>
  <c r="C67" i="6"/>
  <c r="B68" i="6"/>
  <c r="C68" i="6"/>
  <c r="B69" i="6"/>
  <c r="C69" i="6"/>
  <c r="C70" i="6"/>
  <c r="D70" i="6"/>
  <c r="E70" i="6"/>
  <c r="F70" i="6"/>
  <c r="B71" i="6"/>
  <c r="C71" i="6"/>
  <c r="E71" i="6"/>
  <c r="B72" i="6"/>
  <c r="C72" i="6"/>
  <c r="E72" i="6"/>
  <c r="B73" i="6"/>
  <c r="C73" i="6"/>
  <c r="B74" i="6"/>
  <c r="C74" i="6"/>
  <c r="B75" i="6"/>
  <c r="C75" i="6"/>
  <c r="B76" i="6"/>
  <c r="C76" i="6"/>
  <c r="C77" i="6"/>
  <c r="D77" i="6"/>
  <c r="E77" i="6"/>
  <c r="F77" i="6"/>
  <c r="B78" i="6"/>
  <c r="C78" i="6"/>
  <c r="B79" i="6"/>
  <c r="C79" i="6"/>
  <c r="B80" i="6"/>
  <c r="C80" i="6"/>
  <c r="C81" i="6"/>
  <c r="D81" i="6"/>
  <c r="E81" i="6"/>
  <c r="B82" i="6"/>
  <c r="C82" i="6"/>
  <c r="B83" i="6"/>
  <c r="C83" i="6"/>
  <c r="B84" i="6"/>
  <c r="C84" i="6"/>
  <c r="B85" i="6"/>
  <c r="C85" i="6"/>
  <c r="B86" i="6"/>
  <c r="C86" i="6"/>
  <c r="D88" i="6"/>
  <c r="B22" i="3"/>
  <c r="B38" i="7"/>
  <c r="B89" i="6"/>
  <c r="C89" i="6"/>
  <c r="B90" i="6"/>
  <c r="C90" i="6"/>
  <c r="B91" i="6"/>
  <c r="C91" i="6"/>
  <c r="B92" i="6"/>
  <c r="C92" i="6"/>
  <c r="B93" i="6"/>
  <c r="C93" i="6"/>
  <c r="F101" i="6"/>
  <c r="A110" i="6"/>
  <c r="A111" i="6"/>
  <c r="A112" i="6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B6" i="13"/>
  <c r="B7" i="13"/>
  <c r="D11" i="13"/>
  <c r="C12" i="13"/>
  <c r="F12" i="13"/>
  <c r="D14" i="13"/>
  <c r="C15" i="13"/>
  <c r="D15" i="13"/>
  <c r="E15" i="13"/>
  <c r="F15" i="13"/>
  <c r="C16" i="13"/>
  <c r="D16" i="13"/>
  <c r="E16" i="13"/>
  <c r="F16" i="13"/>
  <c r="C17" i="13"/>
  <c r="D17" i="13"/>
  <c r="E17" i="13"/>
  <c r="C18" i="13"/>
  <c r="D18" i="13"/>
  <c r="E18" i="13"/>
  <c r="F18" i="13"/>
  <c r="C19" i="13"/>
  <c r="E19" i="13"/>
  <c r="F19" i="13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F24" i="13"/>
  <c r="D26" i="13"/>
  <c r="C27" i="13"/>
  <c r="E27" i="13"/>
  <c r="D29" i="13"/>
  <c r="C30" i="13"/>
  <c r="D30" i="13"/>
  <c r="E30" i="13"/>
  <c r="C31" i="13"/>
  <c r="D31" i="13"/>
  <c r="E31" i="13"/>
  <c r="C32" i="13"/>
  <c r="D32" i="13"/>
  <c r="E32" i="13"/>
  <c r="D34" i="13"/>
  <c r="C35" i="13"/>
  <c r="D35" i="13"/>
  <c r="E35" i="13"/>
  <c r="C36" i="13"/>
  <c r="D36" i="13"/>
  <c r="E36" i="13"/>
  <c r="C37" i="13"/>
  <c r="D37" i="13"/>
  <c r="E37" i="13"/>
  <c r="C38" i="13"/>
  <c r="E38" i="13"/>
  <c r="C39" i="13"/>
  <c r="D39" i="13"/>
  <c r="E39" i="13"/>
  <c r="C40" i="13"/>
  <c r="D40" i="13"/>
  <c r="D41" i="13"/>
  <c r="C42" i="13"/>
  <c r="D42" i="13"/>
  <c r="E42" i="13"/>
  <c r="F42" i="13"/>
  <c r="C43" i="13"/>
  <c r="D43" i="13"/>
  <c r="E43" i="13"/>
  <c r="C44" i="13"/>
  <c r="D44" i="13"/>
  <c r="E44" i="13"/>
  <c r="C45" i="13"/>
  <c r="D45" i="13"/>
  <c r="E45" i="13"/>
  <c r="C46" i="13"/>
  <c r="D46" i="13"/>
  <c r="E46" i="13"/>
  <c r="C47" i="13"/>
  <c r="D47" i="13"/>
  <c r="E47" i="13"/>
  <c r="F47" i="13"/>
  <c r="C48" i="13"/>
  <c r="C49" i="13"/>
  <c r="C50" i="13"/>
  <c r="C51" i="13"/>
  <c r="D53" i="13"/>
  <c r="C54" i="13"/>
  <c r="C55" i="13"/>
  <c r="C56" i="13"/>
  <c r="D58" i="13"/>
  <c r="C59" i="13"/>
  <c r="C60" i="13"/>
  <c r="C61" i="13"/>
  <c r="D63" i="13"/>
  <c r="C64" i="13"/>
  <c r="D64" i="13"/>
  <c r="E64" i="13"/>
  <c r="F64" i="13"/>
  <c r="C65" i="13"/>
  <c r="C66" i="13"/>
  <c r="C67" i="13"/>
  <c r="C68" i="13"/>
  <c r="D68" i="13"/>
  <c r="E68" i="13"/>
  <c r="F68" i="13"/>
  <c r="C69" i="13"/>
  <c r="E69" i="13"/>
  <c r="C70" i="13"/>
  <c r="E70" i="13"/>
  <c r="C71" i="13"/>
  <c r="C72" i="13"/>
  <c r="C73" i="13"/>
  <c r="C74" i="13"/>
  <c r="C76" i="13"/>
  <c r="D76" i="13"/>
  <c r="E76" i="13"/>
  <c r="F76" i="13"/>
  <c r="C77" i="13"/>
  <c r="C78" i="13"/>
  <c r="C79" i="13"/>
  <c r="C81" i="13"/>
  <c r="D81" i="13"/>
  <c r="E81" i="13"/>
  <c r="F81" i="13"/>
  <c r="C82" i="13"/>
  <c r="C83" i="13"/>
  <c r="C84" i="13"/>
  <c r="C85" i="13"/>
  <c r="C86" i="13"/>
  <c r="D88" i="13"/>
  <c r="C89" i="13"/>
  <c r="C90" i="13"/>
  <c r="C91" i="13"/>
  <c r="C92" i="13"/>
  <c r="E8" i="3"/>
  <c r="G4" i="7" s="1"/>
  <c r="A13" i="3"/>
  <c r="B13" i="3"/>
  <c r="B11" i="7"/>
  <c r="D13" i="3"/>
  <c r="D11" i="7"/>
  <c r="F11" i="7"/>
  <c r="H11" i="7"/>
  <c r="B14" i="3"/>
  <c r="B14" i="7"/>
  <c r="D14" i="3"/>
  <c r="A15" i="3"/>
  <c r="B15" i="3"/>
  <c r="B17" i="7"/>
  <c r="D15" i="3"/>
  <c r="A16" i="3"/>
  <c r="B16" i="3"/>
  <c r="B20" i="7"/>
  <c r="D16" i="3"/>
  <c r="D20" i="7"/>
  <c r="A17" i="3"/>
  <c r="B17" i="3"/>
  <c r="B23" i="7"/>
  <c r="D17" i="3"/>
  <c r="D23" i="7"/>
  <c r="A18" i="3"/>
  <c r="B18" i="3"/>
  <c r="B26" i="7"/>
  <c r="D18" i="3"/>
  <c r="D26" i="7"/>
  <c r="A19" i="3"/>
  <c r="B19" i="3"/>
  <c r="B29" i="7"/>
  <c r="D19" i="3"/>
  <c r="D29" i="7"/>
  <c r="A20" i="3"/>
  <c r="B20" i="3"/>
  <c r="B32" i="7"/>
  <c r="D20" i="3"/>
  <c r="A21" i="3"/>
  <c r="B21" i="3"/>
  <c r="B35" i="7"/>
  <c r="D21" i="3"/>
  <c r="D35" i="7"/>
  <c r="F35" i="7"/>
  <c r="A22" i="3"/>
  <c r="D22" i="3"/>
  <c r="D38" i="7"/>
  <c r="I38" i="7"/>
  <c r="H38" i="7"/>
  <c r="D3" i="1"/>
  <c r="C9" i="5"/>
  <c r="D12" i="13"/>
  <c r="E3" i="1"/>
  <c r="D9" i="5"/>
  <c r="D11" i="1"/>
  <c r="C41" i="5"/>
  <c r="D19" i="13"/>
  <c r="D17" i="1"/>
  <c r="C83" i="5"/>
  <c r="D24" i="6"/>
  <c r="F27" i="1"/>
  <c r="K161" i="5"/>
  <c r="P161" i="5"/>
  <c r="G36" i="6"/>
  <c r="F28" i="1"/>
  <c r="K168" i="5"/>
  <c r="P168" i="5"/>
  <c r="G37" i="6"/>
  <c r="C36" i="1"/>
  <c r="D507" i="5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D44" i="1"/>
  <c r="D45" i="1"/>
  <c r="D46" i="1"/>
  <c r="D55" i="1"/>
  <c r="D57" i="1"/>
  <c r="D59" i="1"/>
  <c r="E59" i="1"/>
  <c r="G59" i="1"/>
  <c r="D60" i="1"/>
  <c r="D61" i="1"/>
  <c r="C63" i="1"/>
  <c r="D63" i="1"/>
  <c r="D64" i="1"/>
  <c r="D70" i="1"/>
  <c r="D71" i="1"/>
  <c r="D72" i="1"/>
  <c r="D73" i="1"/>
  <c r="C79" i="1"/>
  <c r="D79" i="1"/>
  <c r="E79" i="1"/>
  <c r="F56" i="6"/>
  <c r="G137" i="5"/>
  <c r="I83" i="5"/>
  <c r="F54" i="13"/>
  <c r="F18" i="6"/>
  <c r="H18" i="6"/>
  <c r="F20" i="13"/>
  <c r="G48" i="12"/>
  <c r="F17" i="1"/>
  <c r="K83" i="5"/>
  <c r="P83" i="5"/>
  <c r="G24" i="6"/>
  <c r="D38" i="13"/>
  <c r="I445" i="5"/>
  <c r="E470" i="5"/>
  <c r="I470" i="5"/>
  <c r="G282" i="12"/>
  <c r="G284" i="12"/>
  <c r="G296" i="12"/>
  <c r="G297" i="12"/>
  <c r="G267" i="12"/>
  <c r="G268" i="12"/>
  <c r="G165" i="12"/>
  <c r="G166" i="12"/>
  <c r="F145" i="12"/>
  <c r="R67" i="4"/>
  <c r="K67" i="4"/>
  <c r="K60" i="4"/>
  <c r="F17" i="13"/>
  <c r="I213" i="5"/>
  <c r="I59" i="5"/>
  <c r="I53" i="5"/>
  <c r="G487" i="12"/>
  <c r="G503" i="12"/>
  <c r="G504" i="12"/>
  <c r="F478" i="12"/>
  <c r="F71" i="1"/>
  <c r="K491" i="5"/>
  <c r="P491" i="5"/>
  <c r="G83" i="6"/>
  <c r="H83" i="6"/>
  <c r="G329" i="12"/>
  <c r="G343" i="12"/>
  <c r="G344" i="12"/>
  <c r="F322" i="12"/>
  <c r="F59" i="1"/>
  <c r="K407" i="5"/>
  <c r="P407" i="5"/>
  <c r="G71" i="6"/>
  <c r="F271" i="12"/>
  <c r="G32" i="12"/>
  <c r="G45" i="12"/>
  <c r="G46" i="12"/>
  <c r="K15" i="4"/>
  <c r="R15" i="4"/>
  <c r="E37" i="6"/>
  <c r="H14" i="6"/>
  <c r="I388" i="5"/>
  <c r="I382" i="5"/>
  <c r="G189" i="12"/>
  <c r="G190" i="12"/>
  <c r="F169" i="12"/>
  <c r="R65" i="4"/>
  <c r="I106" i="5"/>
  <c r="K57" i="4"/>
  <c r="R57" i="4"/>
  <c r="K14" i="4"/>
  <c r="R14" i="4"/>
  <c r="F43" i="10"/>
  <c r="F45" i="10"/>
  <c r="F46" i="10"/>
  <c r="I456" i="5"/>
  <c r="I451" i="5"/>
  <c r="I276" i="5"/>
  <c r="I263" i="5"/>
  <c r="G563" i="12"/>
  <c r="G565" i="12"/>
  <c r="G567" i="12"/>
  <c r="G568" i="12"/>
  <c r="F552" i="12"/>
  <c r="F55" i="1"/>
  <c r="G548" i="12"/>
  <c r="G549" i="12"/>
  <c r="F526" i="12"/>
  <c r="F73" i="1"/>
  <c r="G446" i="12"/>
  <c r="G447" i="12"/>
  <c r="F426" i="12"/>
  <c r="F64" i="1"/>
  <c r="D24" i="9"/>
  <c r="D31" i="9"/>
  <c r="G376" i="12"/>
  <c r="G379" i="12"/>
  <c r="G392" i="12"/>
  <c r="G393" i="12"/>
  <c r="F372" i="12"/>
  <c r="F61" i="1"/>
  <c r="E377" i="12"/>
  <c r="G377" i="12"/>
  <c r="H35" i="7"/>
  <c r="I556" i="5"/>
  <c r="I548" i="5"/>
  <c r="I359" i="5"/>
  <c r="I316" i="5"/>
  <c r="I302" i="5"/>
  <c r="F52" i="6"/>
  <c r="H52" i="6"/>
  <c r="I300" i="5"/>
  <c r="I291" i="5"/>
  <c r="F51" i="6"/>
  <c r="K32" i="4"/>
  <c r="R32" i="4"/>
  <c r="R31" i="4"/>
  <c r="K13" i="4"/>
  <c r="R13" i="4"/>
  <c r="D27" i="13"/>
  <c r="F44" i="11"/>
  <c r="I505" i="5"/>
  <c r="I499" i="5"/>
  <c r="D451" i="5"/>
  <c r="C263" i="5"/>
  <c r="I79" i="5"/>
  <c r="I73" i="5"/>
  <c r="G622" i="12"/>
  <c r="G623" i="12"/>
  <c r="F601" i="12"/>
  <c r="F63" i="1"/>
  <c r="K62" i="4"/>
  <c r="H13" i="6"/>
  <c r="F46" i="11"/>
  <c r="I71" i="5"/>
  <c r="I61" i="5"/>
  <c r="H16" i="6"/>
  <c r="K24" i="4"/>
  <c r="R24" i="4"/>
  <c r="R23" i="4"/>
  <c r="K10" i="4"/>
  <c r="R10" i="4"/>
  <c r="K16" i="4"/>
  <c r="R16" i="4"/>
  <c r="R9" i="4"/>
  <c r="G11" i="7"/>
  <c r="I11" i="7"/>
  <c r="D515" i="5"/>
  <c r="I121" i="5"/>
  <c r="I108" i="5"/>
  <c r="G318" i="12"/>
  <c r="G319" i="12"/>
  <c r="F300" i="12"/>
  <c r="F15" i="12"/>
  <c r="G15" i="12"/>
  <c r="G16" i="12"/>
  <c r="G20" i="12"/>
  <c r="F8" i="12"/>
  <c r="F3" i="1"/>
  <c r="K9" i="5"/>
  <c r="P9" i="5"/>
  <c r="G10" i="6"/>
  <c r="H10" i="6"/>
  <c r="G9" i="6"/>
  <c r="C13" i="3"/>
  <c r="D32" i="7"/>
  <c r="D24" i="3"/>
  <c r="E20" i="3"/>
  <c r="I230" i="5"/>
  <c r="I216" i="5"/>
  <c r="G91" i="12"/>
  <c r="G92" i="12"/>
  <c r="F70" i="12"/>
  <c r="K55" i="4"/>
  <c r="R55" i="4"/>
  <c r="D263" i="5"/>
  <c r="C515" i="5"/>
  <c r="D390" i="5"/>
  <c r="C548" i="5"/>
  <c r="C216" i="5"/>
  <c r="C278" i="5"/>
  <c r="D50" i="6"/>
  <c r="C459" i="5"/>
  <c r="D77" i="13"/>
  <c r="K515" i="5"/>
  <c r="P515" i="5"/>
  <c r="G86" i="6"/>
  <c r="D216" i="5"/>
  <c r="C425" i="5"/>
  <c r="C499" i="5"/>
  <c r="K346" i="5"/>
  <c r="P346" i="5"/>
  <c r="G60" i="6"/>
  <c r="K541" i="5"/>
  <c r="P541" i="5"/>
  <c r="G91" i="6"/>
  <c r="C328" i="5"/>
  <c r="D368" i="5"/>
  <c r="K558" i="5"/>
  <c r="P558" i="5"/>
  <c r="G93" i="6"/>
  <c r="C390" i="5"/>
  <c r="C346" i="5"/>
  <c r="C232" i="5"/>
  <c r="I183" i="5"/>
  <c r="I191" i="5"/>
  <c r="G459" i="12"/>
  <c r="G474" i="12"/>
  <c r="G475" i="12"/>
  <c r="F450" i="12"/>
  <c r="F70" i="1"/>
  <c r="K484" i="5"/>
  <c r="P484" i="5"/>
  <c r="G82" i="6"/>
  <c r="C46" i="4"/>
  <c r="C77" i="4"/>
  <c r="R56" i="4"/>
  <c r="R42" i="4"/>
  <c r="R39" i="4"/>
  <c r="C79" i="4"/>
  <c r="C74" i="4"/>
  <c r="C50" i="4"/>
  <c r="C45" i="4"/>
  <c r="C40" i="4"/>
  <c r="C66" i="4"/>
  <c r="C86" i="4"/>
  <c r="C81" i="4"/>
  <c r="C76" i="4"/>
  <c r="R61" i="4"/>
  <c r="R59" i="4"/>
  <c r="C52" i="4"/>
  <c r="C47" i="4"/>
  <c r="C83" i="4"/>
  <c r="C78" i="4"/>
  <c r="C73" i="4"/>
  <c r="C49" i="4"/>
  <c r="C44" i="4"/>
  <c r="R41" i="4"/>
  <c r="C85" i="4"/>
  <c r="C80" i="4"/>
  <c r="C75" i="4"/>
  <c r="C70" i="4"/>
  <c r="H127" i="5"/>
  <c r="I127" i="5"/>
  <c r="I178" i="5"/>
  <c r="D78" i="6"/>
  <c r="F23" i="13"/>
  <c r="F21" i="6"/>
  <c r="H21" i="6"/>
  <c r="R95" i="4"/>
  <c r="F51" i="13"/>
  <c r="F49" i="6"/>
  <c r="G145" i="12"/>
  <c r="F39" i="1"/>
  <c r="F24" i="6"/>
  <c r="H24" i="6"/>
  <c r="G23" i="6"/>
  <c r="C15" i="3"/>
  <c r="F27" i="13"/>
  <c r="D47" i="6"/>
  <c r="D49" i="13"/>
  <c r="R54" i="4"/>
  <c r="K95" i="4"/>
  <c r="K97" i="4"/>
  <c r="D49" i="6"/>
  <c r="D51" i="13"/>
  <c r="F242" i="12"/>
  <c r="G242" i="12"/>
  <c r="F44" i="1"/>
  <c r="K319" i="5"/>
  <c r="P319" i="5"/>
  <c r="G55" i="6"/>
  <c r="H55" i="6"/>
  <c r="I137" i="5"/>
  <c r="E172" i="5"/>
  <c r="I172" i="5"/>
  <c r="I173" i="5"/>
  <c r="I168" i="5"/>
  <c r="D59" i="13"/>
  <c r="D60" i="6"/>
  <c r="D73" i="6"/>
  <c r="D71" i="13"/>
  <c r="E22" i="3"/>
  <c r="E13" i="3"/>
  <c r="E17" i="3"/>
  <c r="E14" i="3"/>
  <c r="E18" i="3"/>
  <c r="I346" i="5"/>
  <c r="H363" i="5"/>
  <c r="I363" i="5"/>
  <c r="I366" i="5"/>
  <c r="D48" i="13"/>
  <c r="D46" i="6"/>
  <c r="D86" i="13"/>
  <c r="D86" i="6"/>
  <c r="F92" i="6"/>
  <c r="F92" i="13"/>
  <c r="H125" i="5"/>
  <c r="I125" i="5"/>
  <c r="E143" i="5"/>
  <c r="I143" i="5"/>
  <c r="I145" i="5"/>
  <c r="I141" i="5"/>
  <c r="I93" i="5"/>
  <c r="G136" i="5"/>
  <c r="E19" i="3"/>
  <c r="E61" i="13"/>
  <c r="E62" i="6"/>
  <c r="E86" i="13"/>
  <c r="E86" i="6"/>
  <c r="E16" i="3"/>
  <c r="F74" i="13"/>
  <c r="F76" i="6"/>
  <c r="H128" i="5"/>
  <c r="I128" i="5"/>
  <c r="I207" i="5"/>
  <c r="E48" i="13"/>
  <c r="E46" i="6"/>
  <c r="D92" i="6"/>
  <c r="D92" i="13"/>
  <c r="E68" i="6"/>
  <c r="E66" i="13"/>
  <c r="D66" i="13"/>
  <c r="D68" i="6"/>
  <c r="E76" i="6"/>
  <c r="E74" i="13"/>
  <c r="G169" i="12"/>
  <c r="F40" i="1"/>
  <c r="K278" i="5"/>
  <c r="P278" i="5"/>
  <c r="G50" i="6"/>
  <c r="H50" i="6"/>
  <c r="G271" i="12"/>
  <c r="F45" i="1"/>
  <c r="K328" i="5"/>
  <c r="P328" i="5"/>
  <c r="G56" i="6"/>
  <c r="H56" i="6"/>
  <c r="D56" i="6"/>
  <c r="D55" i="13"/>
  <c r="I32" i="7"/>
  <c r="F20" i="6"/>
  <c r="H20" i="6"/>
  <c r="F22" i="13"/>
  <c r="F84" i="6"/>
  <c r="F84" i="13"/>
  <c r="E21" i="3"/>
  <c r="F65" i="13"/>
  <c r="F67" i="6"/>
  <c r="K11" i="7"/>
  <c r="D84" i="6"/>
  <c r="D84" i="13"/>
  <c r="E51" i="13"/>
  <c r="E49" i="6"/>
  <c r="E85" i="6"/>
  <c r="E85" i="13"/>
  <c r="F19" i="6"/>
  <c r="H19" i="6"/>
  <c r="F21" i="13"/>
  <c r="F27" i="6"/>
  <c r="H27" i="6"/>
  <c r="F30" i="13"/>
  <c r="E149" i="5"/>
  <c r="I149" i="5"/>
  <c r="I151" i="5"/>
  <c r="I147" i="5"/>
  <c r="E157" i="5"/>
  <c r="I157" i="5"/>
  <c r="F43" i="13"/>
  <c r="H195" i="5"/>
  <c r="I195" i="5"/>
  <c r="I196" i="5"/>
  <c r="I193" i="5"/>
  <c r="F41" i="6"/>
  <c r="H41" i="6"/>
  <c r="F46" i="13"/>
  <c r="F44" i="6"/>
  <c r="H44" i="6"/>
  <c r="I136" i="5"/>
  <c r="E156" i="5"/>
  <c r="I156" i="5"/>
  <c r="E165" i="5"/>
  <c r="I165" i="5"/>
  <c r="I166" i="5"/>
  <c r="I161" i="5"/>
  <c r="F59" i="13"/>
  <c r="F60" i="6"/>
  <c r="H60" i="6"/>
  <c r="G70" i="12"/>
  <c r="F36" i="1"/>
  <c r="K216" i="5"/>
  <c r="P216" i="5"/>
  <c r="G46" i="6"/>
  <c r="F31" i="13"/>
  <c r="F28" i="6"/>
  <c r="H28" i="6"/>
  <c r="F11" i="1"/>
  <c r="K41" i="5"/>
  <c r="P41" i="5"/>
  <c r="G17" i="6"/>
  <c r="H17" i="6"/>
  <c r="F22" i="12"/>
  <c r="F48" i="13"/>
  <c r="F46" i="6"/>
  <c r="G300" i="12"/>
  <c r="F46" i="1"/>
  <c r="K337" i="5"/>
  <c r="P337" i="5"/>
  <c r="G57" i="6"/>
  <c r="D17" i="6"/>
  <c r="D10" i="6"/>
  <c r="G35" i="7"/>
  <c r="I35" i="7"/>
  <c r="H26" i="7"/>
  <c r="F26" i="7"/>
  <c r="F20" i="7"/>
  <c r="G20" i="7"/>
  <c r="F83" i="6"/>
  <c r="F83" i="13"/>
  <c r="F80" i="6"/>
  <c r="F79" i="13"/>
  <c r="F69" i="13"/>
  <c r="F71" i="6"/>
  <c r="H71" i="6"/>
  <c r="I246" i="5"/>
  <c r="I232" i="5"/>
  <c r="F43" i="6"/>
  <c r="H43" i="6"/>
  <c r="F45" i="13"/>
  <c r="I139" i="5"/>
  <c r="I133" i="5"/>
  <c r="K525" i="5"/>
  <c r="P525" i="5"/>
  <c r="G89" i="6"/>
  <c r="D525" i="5"/>
  <c r="D459" i="5"/>
  <c r="D491" i="5"/>
  <c r="C398" i="5"/>
  <c r="D337" i="5"/>
  <c r="K507" i="5"/>
  <c r="P507" i="5"/>
  <c r="G85" i="6"/>
  <c r="C361" i="5"/>
  <c r="D248" i="5"/>
  <c r="K533" i="5"/>
  <c r="P533" i="5"/>
  <c r="G90" i="6"/>
  <c r="G23" i="7"/>
  <c r="F23" i="7"/>
  <c r="F90" i="13"/>
  <c r="F90" i="6"/>
  <c r="F86" i="13"/>
  <c r="F86" i="6"/>
  <c r="H86" i="6"/>
  <c r="F82" i="6"/>
  <c r="H82" i="6"/>
  <c r="F82" i="13"/>
  <c r="I465" i="5"/>
  <c r="I459" i="5"/>
  <c r="I449" i="5"/>
  <c r="I441" i="5"/>
  <c r="F71" i="13"/>
  <c r="F73" i="6"/>
  <c r="I421" i="5"/>
  <c r="I415" i="5"/>
  <c r="F56" i="13"/>
  <c r="F57" i="6"/>
  <c r="H57" i="6"/>
  <c r="F48" i="6"/>
  <c r="F50" i="13"/>
  <c r="C43" i="4"/>
  <c r="C82" i="4"/>
  <c r="C48" i="4"/>
  <c r="C72" i="4"/>
  <c r="C84" i="4"/>
  <c r="H15" i="6"/>
  <c r="G12" i="6"/>
  <c r="C14" i="3"/>
  <c r="G645" i="12"/>
  <c r="G646" i="12"/>
  <c r="F626" i="12"/>
  <c r="F79" i="1"/>
  <c r="K548" i="5"/>
  <c r="P548" i="5"/>
  <c r="G92" i="6"/>
  <c r="H92" i="6"/>
  <c r="G522" i="12"/>
  <c r="G523" i="12"/>
  <c r="F507" i="12"/>
  <c r="F72" i="1"/>
  <c r="K499" i="5"/>
  <c r="P499" i="5"/>
  <c r="G84" i="6"/>
  <c r="H84" i="6"/>
  <c r="C51" i="4"/>
  <c r="E469" i="5"/>
  <c r="I469" i="5"/>
  <c r="I473" i="5"/>
  <c r="I467" i="5"/>
  <c r="G422" i="12"/>
  <c r="G423" i="12"/>
  <c r="F396" i="12"/>
  <c r="F57" i="1"/>
  <c r="K398" i="5"/>
  <c r="P398" i="5"/>
  <c r="G69" i="6"/>
  <c r="G368" i="12"/>
  <c r="G369" i="12"/>
  <c r="F347" i="12"/>
  <c r="G198" i="12"/>
  <c r="G213" i="12"/>
  <c r="G214" i="12"/>
  <c r="F193" i="12"/>
  <c r="G141" i="12"/>
  <c r="G142" i="12"/>
  <c r="F121" i="12"/>
  <c r="G102" i="12"/>
  <c r="G117" i="12"/>
  <c r="G118" i="12"/>
  <c r="F95" i="12"/>
  <c r="G228" i="12"/>
  <c r="G230" i="12"/>
  <c r="G238" i="12"/>
  <c r="G239" i="12"/>
  <c r="F217" i="12"/>
  <c r="F73" i="13"/>
  <c r="F75" i="6"/>
  <c r="H90" i="6"/>
  <c r="E50" i="13"/>
  <c r="E48" i="6"/>
  <c r="D61" i="6"/>
  <c r="D60" i="13"/>
  <c r="E56" i="13"/>
  <c r="E57" i="6"/>
  <c r="E83" i="6"/>
  <c r="E83" i="13"/>
  <c r="E89" i="6"/>
  <c r="E89" i="13"/>
  <c r="F35" i="13"/>
  <c r="F32" i="6"/>
  <c r="H32" i="6"/>
  <c r="F70" i="13"/>
  <c r="F72" i="6"/>
  <c r="F77" i="13"/>
  <c r="F78" i="6"/>
  <c r="D69" i="6"/>
  <c r="D67" i="13"/>
  <c r="E78" i="6"/>
  <c r="E77" i="13"/>
  <c r="F49" i="13"/>
  <c r="F47" i="6"/>
  <c r="F41" i="1"/>
  <c r="K291" i="5"/>
  <c r="P291" i="5"/>
  <c r="G51" i="6"/>
  <c r="H51" i="6"/>
  <c r="G193" i="12"/>
  <c r="F42" i="1"/>
  <c r="G217" i="12"/>
  <c r="F37" i="1"/>
  <c r="K232" i="5"/>
  <c r="P232" i="5"/>
  <c r="G47" i="6"/>
  <c r="H47" i="6"/>
  <c r="G95" i="12"/>
  <c r="F78" i="13"/>
  <c r="F79" i="6"/>
  <c r="G121" i="12"/>
  <c r="F38" i="1"/>
  <c r="K248" i="5"/>
  <c r="P248" i="5"/>
  <c r="G48" i="6"/>
  <c r="H48" i="6"/>
  <c r="F39" i="13"/>
  <c r="F36" i="6"/>
  <c r="H36" i="6"/>
  <c r="F36" i="13"/>
  <c r="F33" i="6"/>
  <c r="H33" i="6"/>
  <c r="F40" i="13"/>
  <c r="F37" i="6"/>
  <c r="H37" i="6"/>
  <c r="F60" i="1"/>
  <c r="K415" i="5"/>
  <c r="P415" i="5"/>
  <c r="G72" i="6"/>
  <c r="H72" i="6"/>
  <c r="F37" i="13"/>
  <c r="F34" i="6"/>
  <c r="H34" i="6"/>
  <c r="H370" i="5"/>
  <c r="I370" i="5"/>
  <c r="I372" i="5"/>
  <c r="I368" i="5"/>
  <c r="I361" i="5"/>
  <c r="H46" i="6"/>
  <c r="I159" i="5"/>
  <c r="I153" i="5"/>
  <c r="F42" i="6"/>
  <c r="H42" i="6"/>
  <c r="F44" i="13"/>
  <c r="G54" i="6"/>
  <c r="C19" i="3"/>
  <c r="L13" i="4"/>
  <c r="L67" i="4"/>
  <c r="L76" i="4"/>
  <c r="L81" i="4"/>
  <c r="L92" i="4"/>
  <c r="L47" i="4"/>
  <c r="L42" i="4"/>
  <c r="L51" i="4"/>
  <c r="L15" i="4"/>
  <c r="L91" i="4"/>
  <c r="L41" i="4"/>
  <c r="L84" i="4"/>
  <c r="L80" i="4"/>
  <c r="L61" i="4"/>
  <c r="L63" i="4"/>
  <c r="L62" i="4"/>
  <c r="L24" i="4"/>
  <c r="L14" i="4"/>
  <c r="L27" i="4"/>
  <c r="L69" i="4"/>
  <c r="L79" i="4"/>
  <c r="L74" i="4"/>
  <c r="L17" i="4"/>
  <c r="L19" i="4"/>
  <c r="L52" i="4"/>
  <c r="L37" i="4"/>
  <c r="L43" i="4"/>
  <c r="L73" i="4"/>
  <c r="L68" i="4"/>
  <c r="L29" i="4"/>
  <c r="L45" i="4"/>
  <c r="L28" i="4"/>
  <c r="L57" i="4"/>
  <c r="L32" i="4"/>
  <c r="L21" i="4"/>
  <c r="L93" i="4"/>
  <c r="L89" i="4"/>
  <c r="L35" i="4"/>
  <c r="L72" i="4"/>
  <c r="L71" i="4"/>
  <c r="L46" i="4"/>
  <c r="L86" i="4"/>
  <c r="L85" i="4"/>
  <c r="L90" i="4"/>
  <c r="L82" i="4"/>
  <c r="L75" i="4"/>
  <c r="L70" i="4"/>
  <c r="L16" i="4"/>
  <c r="L55" i="4"/>
  <c r="L60" i="4"/>
  <c r="L56" i="4"/>
  <c r="L83" i="4"/>
  <c r="L36" i="4"/>
  <c r="L77" i="4"/>
  <c r="L50" i="4"/>
  <c r="L44" i="4"/>
  <c r="L48" i="4"/>
  <c r="L33" i="4"/>
  <c r="L34" i="4"/>
  <c r="L78" i="4"/>
  <c r="L20" i="4"/>
  <c r="L49" i="4"/>
  <c r="L18" i="4"/>
  <c r="L10" i="4"/>
  <c r="K459" i="5"/>
  <c r="P459" i="5"/>
  <c r="G78" i="6"/>
  <c r="H78" i="6"/>
  <c r="C541" i="5"/>
  <c r="D382" i="5"/>
  <c r="C319" i="5"/>
  <c r="D291" i="5"/>
  <c r="E51" i="6"/>
  <c r="D499" i="5"/>
  <c r="D319" i="5"/>
  <c r="K361" i="5"/>
  <c r="P361" i="5"/>
  <c r="G61" i="6"/>
  <c r="C441" i="5"/>
  <c r="D558" i="5"/>
  <c r="E93" i="6"/>
  <c r="D467" i="5"/>
  <c r="C291" i="5"/>
  <c r="D51" i="6"/>
  <c r="D433" i="5"/>
  <c r="K475" i="5"/>
  <c r="P475" i="5"/>
  <c r="G80" i="6"/>
  <c r="H80" i="6"/>
  <c r="D541" i="5"/>
  <c r="C415" i="5"/>
  <c r="C451" i="5"/>
  <c r="C368" i="5"/>
  <c r="C525" i="5"/>
  <c r="C484" i="5"/>
  <c r="D425" i="5"/>
  <c r="C374" i="5"/>
  <c r="D63" i="6"/>
  <c r="D361" i="5"/>
  <c r="D398" i="5"/>
  <c r="C467" i="5"/>
  <c r="C382" i="5"/>
  <c r="D475" i="5"/>
  <c r="K467" i="5"/>
  <c r="P467" i="5"/>
  <c r="G79" i="6"/>
  <c r="C248" i="5"/>
  <c r="K433" i="5"/>
  <c r="P433" i="5"/>
  <c r="G74" i="6"/>
  <c r="C491" i="5"/>
  <c r="K374" i="5"/>
  <c r="P374" i="5"/>
  <c r="G63" i="6"/>
  <c r="H63" i="6"/>
  <c r="C407" i="5"/>
  <c r="K263" i="5"/>
  <c r="P263" i="5"/>
  <c r="G49" i="6"/>
  <c r="H49" i="6"/>
  <c r="C558" i="5"/>
  <c r="D93" i="6"/>
  <c r="C433" i="5"/>
  <c r="K441" i="5"/>
  <c r="P441" i="5"/>
  <c r="G75" i="6"/>
  <c r="H75" i="6"/>
  <c r="D533" i="5"/>
  <c r="K390" i="5"/>
  <c r="P390" i="5"/>
  <c r="G68" i="6"/>
  <c r="K368" i="5"/>
  <c r="P368" i="5"/>
  <c r="G62" i="6"/>
  <c r="D484" i="5"/>
  <c r="C475" i="5"/>
  <c r="D441" i="5"/>
  <c r="C507" i="5"/>
  <c r="D548" i="5"/>
  <c r="D346" i="5"/>
  <c r="C337" i="5"/>
  <c r="D374" i="5"/>
  <c r="E63" i="6"/>
  <c r="C533" i="5"/>
  <c r="D232" i="5"/>
  <c r="D328" i="5"/>
  <c r="E10" i="6"/>
  <c r="E12" i="13"/>
  <c r="H93" i="6"/>
  <c r="I130" i="5"/>
  <c r="I123" i="5"/>
  <c r="I29" i="7"/>
  <c r="H29" i="7"/>
  <c r="H41" i="7"/>
  <c r="G26" i="7"/>
  <c r="I26" i="7"/>
  <c r="I41" i="7"/>
  <c r="D17" i="7"/>
  <c r="E15" i="3"/>
  <c r="E24" i="3"/>
  <c r="F67" i="13"/>
  <c r="F69" i="6"/>
  <c r="H69" i="6"/>
  <c r="F91" i="13"/>
  <c r="F91" i="6"/>
  <c r="H91" i="6"/>
  <c r="I513" i="5"/>
  <c r="I507" i="5"/>
  <c r="I439" i="5"/>
  <c r="I433" i="5"/>
  <c r="D278" i="5"/>
  <c r="E50" i="6"/>
  <c r="K425" i="5"/>
  <c r="P425" i="5"/>
  <c r="G73" i="6"/>
  <c r="H73" i="6"/>
  <c r="K451" i="5"/>
  <c r="P451" i="5"/>
  <c r="G76" i="6"/>
  <c r="H76" i="6"/>
  <c r="K382" i="5"/>
  <c r="P382" i="5"/>
  <c r="G67" i="6"/>
  <c r="H67" i="6"/>
  <c r="I530" i="5"/>
  <c r="I525" i="5"/>
  <c r="G580" i="12"/>
  <c r="G594" i="12"/>
  <c r="G595" i="12"/>
  <c r="F571" i="12"/>
  <c r="I396" i="5"/>
  <c r="I390" i="5"/>
  <c r="D85" i="6"/>
  <c r="D85" i="13"/>
  <c r="D74" i="6"/>
  <c r="D72" i="13"/>
  <c r="E67" i="13"/>
  <c r="E69" i="6"/>
  <c r="D82" i="13"/>
  <c r="D82" i="6"/>
  <c r="D70" i="13"/>
  <c r="D72" i="6"/>
  <c r="D55" i="6"/>
  <c r="D54" i="13"/>
  <c r="G39" i="6"/>
  <c r="C18" i="3"/>
  <c r="F62" i="6"/>
  <c r="H62" i="6"/>
  <c r="F61" i="13"/>
  <c r="H79" i="6"/>
  <c r="F72" i="13"/>
  <c r="F74" i="6"/>
  <c r="H74" i="6"/>
  <c r="F85" i="13"/>
  <c r="F85" i="6"/>
  <c r="H85" i="6"/>
  <c r="E56" i="6"/>
  <c r="E55" i="13"/>
  <c r="D56" i="13"/>
  <c r="D57" i="6"/>
  <c r="E73" i="13"/>
  <c r="E75" i="6"/>
  <c r="D83" i="13"/>
  <c r="D83" i="6"/>
  <c r="E79" i="13"/>
  <c r="E80" i="6"/>
  <c r="E60" i="13"/>
  <c r="E61" i="6"/>
  <c r="D89" i="13"/>
  <c r="D89" i="6"/>
  <c r="E91" i="6"/>
  <c r="E91" i="13"/>
  <c r="E78" i="13"/>
  <c r="E79" i="6"/>
  <c r="E54" i="13"/>
  <c r="E55" i="6"/>
  <c r="E67" i="6"/>
  <c r="E65" i="13"/>
  <c r="F38" i="13"/>
  <c r="F35" i="6"/>
  <c r="H35" i="6"/>
  <c r="G31" i="6"/>
  <c r="C17" i="3"/>
  <c r="F32" i="13"/>
  <c r="F29" i="6"/>
  <c r="H29" i="6"/>
  <c r="F66" i="13"/>
  <c r="F68" i="6"/>
  <c r="H68" i="6"/>
  <c r="G65" i="6"/>
  <c r="C21" i="3"/>
  <c r="E47" i="6"/>
  <c r="E49" i="13"/>
  <c r="E59" i="13"/>
  <c r="E60" i="6"/>
  <c r="D79" i="13"/>
  <c r="D80" i="6"/>
  <c r="E90" i="13"/>
  <c r="E90" i="6"/>
  <c r="D67" i="6"/>
  <c r="D65" i="13"/>
  <c r="D62" i="6"/>
  <c r="D61" i="13"/>
  <c r="E84" i="6"/>
  <c r="E84" i="13"/>
  <c r="D91" i="13"/>
  <c r="D91" i="6"/>
  <c r="L97" i="4"/>
  <c r="F89" i="13"/>
  <c r="F89" i="6"/>
  <c r="H89" i="6"/>
  <c r="G88" i="6"/>
  <c r="C22" i="3"/>
  <c r="F17" i="7"/>
  <c r="F41" i="7"/>
  <c r="D41" i="7"/>
  <c r="H42" i="7"/>
  <c r="E17" i="7"/>
  <c r="G17" i="7"/>
  <c r="G41" i="7"/>
  <c r="G42" i="7"/>
  <c r="D90" i="13"/>
  <c r="D90" i="6"/>
  <c r="E92" i="13"/>
  <c r="E92" i="6"/>
  <c r="E82" i="13"/>
  <c r="E82" i="6"/>
  <c r="D71" i="6"/>
  <c r="D69" i="13"/>
  <c r="D48" i="6"/>
  <c r="D50" i="13"/>
  <c r="D78" i="13"/>
  <c r="D79" i="6"/>
  <c r="E73" i="6"/>
  <c r="E71" i="13"/>
  <c r="D76" i="6"/>
  <c r="D74" i="13"/>
  <c r="E74" i="6"/>
  <c r="E72" i="13"/>
  <c r="D75" i="6"/>
  <c r="D73" i="13"/>
  <c r="F61" i="6"/>
  <c r="H61" i="6"/>
  <c r="G59" i="6"/>
  <c r="C20" i="3"/>
  <c r="F60" i="13"/>
  <c r="F42" i="7"/>
  <c r="F43" i="7"/>
  <c r="I42" i="7"/>
  <c r="G26" i="6"/>
  <c r="C16" i="3"/>
  <c r="C24" i="3"/>
  <c r="H95" i="6"/>
  <c r="E14" i="7"/>
  <c r="E35" i="7"/>
  <c r="E32" i="7"/>
  <c r="E23" i="7"/>
  <c r="E29" i="7"/>
  <c r="E38" i="7"/>
  <c r="E26" i="7"/>
  <c r="E20" i="7"/>
  <c r="E11" i="7"/>
  <c r="E41" i="7"/>
  <c r="G43" i="7"/>
  <c r="F44" i="7"/>
  <c r="H43" i="7"/>
  <c r="G44" i="7"/>
  <c r="I43" i="7"/>
  <c r="I44" i="7"/>
  <c r="H44" i="7"/>
  <c r="F45" i="8"/>
  <c r="G4" i="5"/>
  <c r="E7" i="13" s="1"/>
  <c r="G5" i="6" l="1"/>
</calcChain>
</file>

<file path=xl/sharedStrings.xml><?xml version="1.0" encoding="utf-8"?>
<sst xmlns="http://schemas.openxmlformats.org/spreadsheetml/2006/main" count="2933" uniqueCount="788">
  <si>
    <t>ITEM</t>
  </si>
  <si>
    <t>TABELA</t>
  </si>
  <si>
    <t>CODIGO</t>
  </si>
  <si>
    <t>DESCRIÇÃO DO SERVIÇO</t>
  </si>
  <si>
    <t>UNIDADE</t>
  </si>
  <si>
    <t xml:space="preserve">P. UNITARIO </t>
  </si>
  <si>
    <t>1.0</t>
  </si>
  <si>
    <t xml:space="preserve">ADMINISTRAÇÃO DA OBRA </t>
  </si>
  <si>
    <t>1.1</t>
  </si>
  <si>
    <t>C.P.U.</t>
  </si>
  <si>
    <t>CPU 01</t>
  </si>
  <si>
    <t>2.0</t>
  </si>
  <si>
    <t>SERVIÇOS PRELIMINARES</t>
  </si>
  <si>
    <t>2.1</t>
  </si>
  <si>
    <t>SINAPI NACIONAL</t>
  </si>
  <si>
    <t>74220/001</t>
  </si>
  <si>
    <t>TAPUME DE CHAPA DE MADEIRA COMPENSADA, E= 6MM, COM PINTURA A CAL E REAPROVEITAMENTO DE 2X</t>
  </si>
  <si>
    <t>M2</t>
  </si>
  <si>
    <t>2.2</t>
  </si>
  <si>
    <t>73948/016</t>
  </si>
  <si>
    <t>LIMPEZA MANUAL DO TERRENO (C/ RASPAGEM SUPERFICIAL)</t>
  </si>
  <si>
    <t>2.3</t>
  </si>
  <si>
    <t>74210/001</t>
  </si>
  <si>
    <t>BARRACAO PARA DEPOSITO EM TABUAS DE MADEIRA, COBERTURA EM FIBROCIMENTO 4 MM, INCLUSO PISO ARGAMASSA TRAÇO 1:6 (CIMENTO E AREIA)</t>
  </si>
  <si>
    <t>2.4</t>
  </si>
  <si>
    <t>73805/001</t>
  </si>
  <si>
    <t>BARRACAO DE OBRA PARA ALOJAMENTO/ESCRITORIO, PISO EM PINHO 3A, PAREDES EM COMPENSADO 10MM, COBERTURA EM TELHA AMIANTO 6MM, INCLUSO INSTALACOES ELETRICAS E ESQUADRIAS</t>
  </si>
  <si>
    <t>2.5</t>
  </si>
  <si>
    <t>73752/001</t>
  </si>
  <si>
    <t>SANITARIO COM VASO E CHUVEIRO PARA PESSOAL DE OBRA, COLETIVO DE 2 MODULOS E 4M2, PAREDES CHAPAS DE MADEIRA COMPENSADA PLASTIFICADA 10MM, TELHAS ONDULADAS DE 6MM DE FIBROCIMENTO, INCLUSIVE INSTALACAO E APARELHOS, REAPROVEITADO 2 VEZES (INSTALACOES E APARE</t>
  </si>
  <si>
    <t>UN</t>
  </si>
  <si>
    <t>2.6</t>
  </si>
  <si>
    <t>73960/001</t>
  </si>
  <si>
    <t>INSTAL/LIGACAO PROVISORIA ELETRICA BAIXA TENSAO P/CANT OBRA OBRA,M3-CHAVE 100A CARGA 3KWH,20CV EXCL FORN MEDIDOR</t>
  </si>
  <si>
    <t>2.7</t>
  </si>
  <si>
    <t>CPU 1.007</t>
  </si>
  <si>
    <t>2.8</t>
  </si>
  <si>
    <t>73784/001</t>
  </si>
  <si>
    <t xml:space="preserve">LIGAÇÃO DE ESGOTO EM TUBO PVC ESGOTO SÉRIE-R DN 100MM, DA CAIXA ATÉ A REDE, INCLUINDO ESCAVAÇÃO E REATERRO ATÉ 1,00M, COMPOSTO POR 10,50M DE TUBO PVC SÉRIE-R ESGOTO DN 100MM, JUNÇÃO SIMPLES PVC PARA ESGOTO PREDIAL DN 100X100MM E CURVA PVC 90 GRAUS </t>
  </si>
  <si>
    <t>2.9</t>
  </si>
  <si>
    <t>74209/001</t>
  </si>
  <si>
    <t>PLACA DE OBRA EM CHAPA DE ACO GALVANIZADO</t>
  </si>
  <si>
    <t>2.10</t>
  </si>
  <si>
    <t>2.11</t>
  </si>
  <si>
    <t>3.0</t>
  </si>
  <si>
    <t xml:space="preserve">DEMOLIÇÕES E RETIRADAS </t>
  </si>
  <si>
    <t>3.1</t>
  </si>
  <si>
    <t>CPU 02.001</t>
  </si>
  <si>
    <t>4.0</t>
  </si>
  <si>
    <t>MOVIMENTO DE TERRA</t>
  </si>
  <si>
    <t>4.1</t>
  </si>
  <si>
    <t>79517/001</t>
  </si>
  <si>
    <t>ESCAVACAO MANUAL EM SOLO-PROF. ATE 1,50 M</t>
  </si>
  <si>
    <t>M3</t>
  </si>
  <si>
    <t>4.2</t>
  </si>
  <si>
    <t>79517/002</t>
  </si>
  <si>
    <t>ESCAVACAO MANUAL EM SOLO, PROF. MAIOR QUE 1,5M ATE 4,00 M</t>
  </si>
  <si>
    <t>4.3</t>
  </si>
  <si>
    <t>73964/004</t>
  </si>
  <si>
    <t>REATERRO DE VALAS / CAVAS, COMPACTADA A MAÇO, EM CAMADAS DE ATÉ 30 CM.</t>
  </si>
  <si>
    <t>5.0</t>
  </si>
  <si>
    <t xml:space="preserve">CARGA E TRANSPORTE DE MATERIAIS </t>
  </si>
  <si>
    <t>5.1</t>
  </si>
  <si>
    <t>74023/001</t>
  </si>
  <si>
    <t>TRANSPORTE HORIZONTAL DE MATERIAIS DIVERSOS A 30M</t>
  </si>
  <si>
    <t>5.2</t>
  </si>
  <si>
    <t>72896</t>
  </si>
  <si>
    <t>CARGA MANUAL DE TERRA EM CAMINHAO BASCULANTE 6 M3</t>
  </si>
  <si>
    <t>5.3</t>
  </si>
  <si>
    <t>CARGA MANUAL DE ENTULHO EM CAMINHAO BASCULANTE 6 M3</t>
  </si>
  <si>
    <t>5.4</t>
  </si>
  <si>
    <t xml:space="preserve">TRANSPORTE COMERCIAL COM CAMINHAO BASCULANTE 6 M3, RODOVIA PAVIMENTADA  </t>
  </si>
  <si>
    <t>M3xKM</t>
  </si>
  <si>
    <t>CTR</t>
  </si>
  <si>
    <t>CICLO</t>
  </si>
  <si>
    <t>STERICYCLE</t>
  </si>
  <si>
    <t>5.5</t>
  </si>
  <si>
    <t>COT 01</t>
  </si>
  <si>
    <t>DEPÓSITO DE RESÍDUO (DESTINO FINAL) EM LOCAL LICENCIADO  - CLASSE II A - MATERIAL DE ESCAVAÇÃO (1ª CATEGORIA)</t>
  </si>
  <si>
    <t>T</t>
  </si>
  <si>
    <t>5.6</t>
  </si>
  <si>
    <t>COT  02</t>
  </si>
  <si>
    <t>DEPÓSITO DE RESÍDUO (DESTINO FINAL) EM LOCAL LICENCIADO  - CLASSE II B - ENTULHO</t>
  </si>
  <si>
    <t>6.0</t>
  </si>
  <si>
    <t>6.1</t>
  </si>
  <si>
    <t>FUNDAÇÃO</t>
  </si>
  <si>
    <t>6.1.1</t>
  </si>
  <si>
    <t>CONCRETO NAO ESTRUTURAL, CONSUMO 210KG/M3, PREPARO COM BETONEIRA, SEM LANCAMENTO</t>
  </si>
  <si>
    <t>6.1.2</t>
  </si>
  <si>
    <t>LANÇAMENTO COM USO DE BOMBA, ADENSAMENTO E ACABAMENTO DE CONCRETO EM ESTRUTURAS.</t>
  </si>
  <si>
    <t>6.1.3</t>
  </si>
  <si>
    <t>FORMA TABUA PARA CONCRETO EM FUNDACAO, C/ REAPROVEITAMENTO 5X.</t>
  </si>
  <si>
    <t>6.1.4</t>
  </si>
  <si>
    <t>CPU 6.007</t>
  </si>
  <si>
    <t>CONCRETO USINADO BOMBEÁVEL FCK=30MPA, INCLUSIVE LANCAMENTO E ADENSAMENTO</t>
  </si>
  <si>
    <t>6.2</t>
  </si>
  <si>
    <t>SUPERESTRUTURA</t>
  </si>
  <si>
    <t>6.2.1</t>
  </si>
  <si>
    <t>6.2.2</t>
  </si>
  <si>
    <t>6.2.3</t>
  </si>
  <si>
    <t>6.2.4</t>
  </si>
  <si>
    <t>6.2.5</t>
  </si>
  <si>
    <t>6.2.6</t>
  </si>
  <si>
    <t>6.2.7</t>
  </si>
  <si>
    <t>7.0</t>
  </si>
  <si>
    <t>PISOS (FORNECIMENTO E COLOCAÇÃO)</t>
  </si>
  <si>
    <t>7.1</t>
  </si>
  <si>
    <t>CPU 7.001</t>
  </si>
  <si>
    <t>7.2</t>
  </si>
  <si>
    <t>CPU 7.002</t>
  </si>
  <si>
    <t>7.3</t>
  </si>
  <si>
    <t>CPU 7.003</t>
  </si>
  <si>
    <t>M</t>
  </si>
  <si>
    <t>8.0</t>
  </si>
  <si>
    <t>PINTURA</t>
  </si>
  <si>
    <t>8.1</t>
  </si>
  <si>
    <t>SINAPI
NACIONAL</t>
  </si>
  <si>
    <t>APLICAÇÃO DE FUNDO SELADOR LÁTEX PVA EM PAREDES, UMA DEMÃO. AF_06/2014</t>
  </si>
  <si>
    <t>8.2</t>
  </si>
  <si>
    <t>APLICAÇÃO E LIXAMENTO DE MASSA LÁTEX EM PAREDES, UMA DEMÃO. AF_06/2014</t>
  </si>
  <si>
    <t>8.3</t>
  </si>
  <si>
    <t>APLICAÇÃO MANUAL DE PINTURA COM TINTA LÁTEX ACRÍLICA EM PAREDES, DUAS DEMÃOS. AF_06/2014</t>
  </si>
  <si>
    <t>8.4</t>
  </si>
  <si>
    <t>79514/001</t>
  </si>
  <si>
    <t>PINTURA EPOXI, TRES DEMAOS (SINALIZAÇÃO)</t>
  </si>
  <si>
    <t>8.5</t>
  </si>
  <si>
    <t>VERNIZ SINTETICO BRILHANTE EM CONCRETO OU TIJOLO, DUAS DEMAOS</t>
  </si>
  <si>
    <t>9.0</t>
  </si>
  <si>
    <t>INSTALAÇÕES ELETRICAS (FORNECIMENTO E INSTALAÇÃO)</t>
  </si>
  <si>
    <t>9.1</t>
  </si>
  <si>
    <t>QUADROS E CAIXAS</t>
  </si>
  <si>
    <t>9.1.1</t>
  </si>
  <si>
    <t>CPU 9.009</t>
  </si>
  <si>
    <t>9.1.2</t>
  </si>
  <si>
    <t>CAIXA DE PASSAGEM 30X30X40 COM TAMPA E DRENO BRITA</t>
  </si>
  <si>
    <t>9.1.3</t>
  </si>
  <si>
    <t>CPU 9.003</t>
  </si>
  <si>
    <t>9.2</t>
  </si>
  <si>
    <t>ELETRODUTOS</t>
  </si>
  <si>
    <t>9.2.1</t>
  </si>
  <si>
    <t>CPU 9.000</t>
  </si>
  <si>
    <t>9.2.2</t>
  </si>
  <si>
    <t>CPU 9.001</t>
  </si>
  <si>
    <t>9.2.3</t>
  </si>
  <si>
    <t>CPU 9.002</t>
  </si>
  <si>
    <t>9.2.4</t>
  </si>
  <si>
    <t>SINAPI 
NACIONAL</t>
  </si>
  <si>
    <t>ELETRODUTO DE ACO GALVANIZADO ELETROLITICO DN 25MM (1"), TIPO LEVE, INCLUSIVE CONEXOES - FORNECIMENTO E INSTALACAO</t>
  </si>
  <si>
    <t>9.2.5</t>
  </si>
  <si>
    <t>9.2.6</t>
  </si>
  <si>
    <t>CPU 9.004</t>
  </si>
  <si>
    <t>9.3</t>
  </si>
  <si>
    <t>CABOS</t>
  </si>
  <si>
    <t>9.3.1</t>
  </si>
  <si>
    <t>CABO DE COBRE FLEXÍVEL ISOLADO, 6 MM², ANTI-CHAMA 0,6/1,0 KV, PARA CIRCUITOS TERMINAIS - FORNECIMENTO E INSTALAÇÃO. AF_12/2015</t>
  </si>
  <si>
    <t>9.3.2</t>
  </si>
  <si>
    <t>CABO DE COBRE FLEXÍVEL ISOLADO, 2,5 MM², ANTI-CHAMA 0,6/1,0 KV, PARA CIRCUITOS TERMINAIS - FORNECIMENTO E INSTALAÇÃO. AF_12/2015</t>
  </si>
  <si>
    <t>9.3.3</t>
  </si>
  <si>
    <t>HASTE COPPERWELD 5/8 X 3,0M COM CONECTOR</t>
  </si>
  <si>
    <t>9.4</t>
  </si>
  <si>
    <t xml:space="preserve">POSTES E LUMINARIAS </t>
  </si>
  <si>
    <t>9.4.1</t>
  </si>
  <si>
    <t>CPU 9.005</t>
  </si>
  <si>
    <t>9.4.2</t>
  </si>
  <si>
    <t>CPU 9.006</t>
  </si>
  <si>
    <t>9.4.3</t>
  </si>
  <si>
    <t>CPU 9.007</t>
  </si>
  <si>
    <t>9.4.4</t>
  </si>
  <si>
    <t>CPU 9.008</t>
  </si>
  <si>
    <t>9.4.5</t>
  </si>
  <si>
    <t>RELE FOTOELETRICO P/ COMANDO DE ILUMINACAO EXTERNA 220V/1000W - FORNECIMENTO E INSTALACAO</t>
  </si>
  <si>
    <t>DIVERSOS</t>
  </si>
  <si>
    <t>10.1</t>
  </si>
  <si>
    <t>PLANTIO DE GRAMA ESMERALDA EM ROLO, INCLUSIVE PREPARO DO SOLO</t>
  </si>
  <si>
    <t>10.2</t>
  </si>
  <si>
    <t>73967/002</t>
  </si>
  <si>
    <t>PLANTIO DE ARVORE REGIONAL, ALTURA MAIOR QUE 2,00M, EM CAVAS DE 80X80X80CM</t>
  </si>
  <si>
    <t>10.3</t>
  </si>
  <si>
    <t>PLANTIO DE ARBUSTO COM ALTURA 50 A 100CM, EM CAVA DE 60X60X60CM</t>
  </si>
  <si>
    <t>10.4</t>
  </si>
  <si>
    <t>10.5</t>
  </si>
  <si>
    <t>LIMPEZA FINAL DA OBRA</t>
  </si>
  <si>
    <t>DESCRIÇÃO DO INSUMO</t>
  </si>
  <si>
    <t>P. UNITARIO</t>
  </si>
  <si>
    <t>SINAPI INSUMOS DESONERADO - JAN 2016</t>
  </si>
  <si>
    <t>TARIFA DE ENERGIA ELETRICA COMERCIAL, BAIXA TENSAO, RELATIVA AO CONSUMO DE ATE100 KWH, INCLUINDO ICMS, PIS/PASEP E COFINS</t>
  </si>
  <si>
    <t>KW/H</t>
  </si>
  <si>
    <t>TARIFA "A" ENTRE 0 E 20M3 FORNECIMENTO D'AGUA</t>
  </si>
  <si>
    <t>SINAPI SERVIÇOS DESONERADO - JAN 2016</t>
  </si>
  <si>
    <t>ENGENHEIRO CIVIL DE OBRA JUNIOR COM ENCARGOS COMPLEMENTARES</t>
  </si>
  <si>
    <t>H</t>
  </si>
  <si>
    <t>MESTRE DE OBRAS COM ENCARGOS COMPLEMENTARES</t>
  </si>
  <si>
    <t>VIGIA NOTURNO COM ENCARGOS COMPLEMENTARES</t>
  </si>
  <si>
    <t>COLAR TOMADA PVC C/ TRAVAS SAIDA ROSCA DE 50 MM X 1/2" P/ LIGACAO PREDIAL</t>
  </si>
  <si>
    <t>UND</t>
  </si>
  <si>
    <t>ADAPTADOR PVC SOLDAVEL C/ FLANGES E ANEL DE VEDACAO P/ CAIXA D' AGUA 20MM X 1/2"</t>
  </si>
  <si>
    <t>TUBO PVC, SOLDAVEL, DN 20 MM, AGUA FRIA (NBR-5648)</t>
  </si>
  <si>
    <t>REGISTRO DE ESFERA PVC, COM CABECA QUADRADA, COM ROSCA, 1/2"</t>
  </si>
  <si>
    <t>CAIXA PARA HIDROMETRO CONCRETO PRE MOLDADO</t>
  </si>
  <si>
    <t>EXTREMIDADE P/ HIDROMETRO PVC C/ BUCHA LATAO CURTA 1/2"</t>
  </si>
  <si>
    <t>HIDROMETRO 10,0 M3/H DN 1"</t>
  </si>
  <si>
    <t>PEDREIRO COM ENCARGOS COMPLEMENTARES</t>
  </si>
  <si>
    <t>SERVENTE COM ENCARGOS COMPLEMENTARES</t>
  </si>
  <si>
    <t>AREIA GROSSA</t>
  </si>
  <si>
    <t>BLOQUETE/PISO INTERTRAVADO DE CONCRETO - MODELO RETANGULAR/TIJOLINHO/PAVER/HOLANDES/PARALELEPIPEDO, 20 CM X 10 CM, E = 8 CM,RESISTENCIA DE 35 MPA (NBR 9781), COR NATURAL</t>
  </si>
  <si>
    <t>CALCETEIRO COM ENCARGOS COMPLEMENTARES</t>
  </si>
  <si>
    <t>COMPACTADOR DE SOLOS COM PLACA VIBRATORIA, DE 135 A 156 KG, COM MOTOR A DIESEL OU GASOLINA DE 4 A 6 HP, NAO REVERSIVEL (LOCACAO)</t>
  </si>
  <si>
    <t>74007/002</t>
  </si>
  <si>
    <t>FORMA TABUAS MADEIRA 3A P/ PECAS CONCRETO ARM, REAPR 2X, INCL MONTAGEM E DESMONTAGEM.</t>
  </si>
  <si>
    <t>ARGAMASSA TRAÇO 1:4 (CIMENTO E AREIA GROSSA) PARA CHAPISCO CONVENCIONAL, PREPARO MECÂNICO COM BETONEIRA 400 L. AF_06/2014</t>
  </si>
  <si>
    <t>74138/005</t>
  </si>
  <si>
    <t>CONCRETO USINADO BOMBEADO FCK=35MPA, INCLUSIVE LANCAMENTO E ADENSAMENTO</t>
  </si>
  <si>
    <t>ELETRODUTO DE PVC ROSCÁVEL DE 2 1/2, SEM LUVA</t>
  </si>
  <si>
    <t>LUVA PVC ROSCAVEL P/ ELETRODUTO 2.1/2"</t>
  </si>
  <si>
    <t>ELETRICISTA COM ENCARGOS COMPLEMENTARES</t>
  </si>
  <si>
    <t>AUXILIAR DE ELETRICISTA COM ENCARGOS COMPLEMENTARES</t>
  </si>
  <si>
    <t>ELETRODUTO DE PVC RIGIDO ROSCAVEL DN 20MM (3/4") INCL CONEXOES, FORNECIMENTO E INSTALACAO</t>
  </si>
  <si>
    <t>74138/001</t>
  </si>
  <si>
    <t>CONCRETO USINADO BOMBEADO FCK=15MPA, INCLUSIVE LANCAMENTO E ADENSAMENTO</t>
  </si>
  <si>
    <t>M³</t>
  </si>
  <si>
    <t>CAIXA DE PASSGEM 50X50X60 FUNDO BRITA C/ TAMPA</t>
  </si>
  <si>
    <t>CURVA FERRO GALVANIZADO 90G ROSCA FEMEA REF. 2 1/2"</t>
  </si>
  <si>
    <t>UD</t>
  </si>
  <si>
    <t>POSTE DE CONCRETO DUPLO T, 100 KG, H = 7 M (NBR 8451)</t>
  </si>
  <si>
    <t>CONCRETO FCK=15MPA, PREPARO COM BETONEIRA, SEM LANCAMENTO</t>
  </si>
  <si>
    <t>FITA AÃO INOX PARA CINTAR POSTE, L = 19 MM, E = 0,5 MM (ROLO DE 30M)</t>
  </si>
  <si>
    <t>74030/002</t>
  </si>
  <si>
    <t>GUINDAUTO (CP) CARGA MAX 3,25T (A 2M) E 1,62T (A 4M), ALTURA MAX = 6,6M, MONTADO SOBRE CAMINHÃO TOCO (EXCL. O CAMINHÃO E OPERADOR).</t>
  </si>
  <si>
    <t>ALUGUEL CAMINHAO CARROC FIXA TOCO 7,5T MOTOR DIESEL 132CV (CF) C/MOTO RISTA</t>
  </si>
  <si>
    <t>73976/009</t>
  </si>
  <si>
    <t>TUBO DE AÇO GALVANIZADO COM COSTURA 3" (80MM), INCLUSIVE CONEXOES - FORNECIMENTO E INSTALACAO</t>
  </si>
  <si>
    <t>BRACO P/ ILUMINACAO DE RUAS, EM TUBO ACO GALV 3/4", COMP = 1,5M P/FIXACAO EM POSTE OU PAREDE - FORNECIMENTO E INSTALACAO</t>
  </si>
  <si>
    <t>73855/001</t>
  </si>
  <si>
    <t>CHUMBADOR DE AÇO PARA FIXAÇÃO DE POSTE DE ACO RETO OU CURVO 7 A 9M COM FLANGE - FORNECIMENTO E INSTALACAO</t>
  </si>
  <si>
    <t>LUMINARIA FECHADA PARA ILUMINACAO PUBLICA COM REATOR DE PARTIDA RAPIDA COM LAMPADA A VAPOR DE MERCURIO 250W - FORNECIMENTO E INSTALACAO</t>
  </si>
  <si>
    <t>ABRACADEIRA DE FIXACAO DE BRACOS DE LUMINARIAS DE 4" - FORNECIMENTO E INSTALACAO</t>
  </si>
  <si>
    <t>COTAÇÃO</t>
  </si>
  <si>
    <t>PROJETOR LED 50W</t>
  </si>
  <si>
    <t>und</t>
  </si>
  <si>
    <t>LUMINARIA AQUALED 2L</t>
  </si>
  <si>
    <t>CAIXA P/ MEDICAO MONOF 30 X 33 X 15CM EM CHAPA 18 C/ VISOR/PORTA/CX MUFLA USO EXTERNO COR CINZA</t>
  </si>
  <si>
    <t xml:space="preserve">RESUMO- PLANILHA ORÇAMENTÁRIA </t>
  </si>
  <si>
    <t>OBJETO:</t>
  </si>
  <si>
    <t>Construção dos pórticos de acesso a cidade de Moreno</t>
  </si>
  <si>
    <t xml:space="preserve">Município:  </t>
  </si>
  <si>
    <t>Moreno/PE</t>
  </si>
  <si>
    <t>LOCAL:</t>
  </si>
  <si>
    <t>Moreno - PE</t>
  </si>
  <si>
    <t>Data:</t>
  </si>
  <si>
    <t>DISCRIMINAÇÃO DOS SERVIÇOS</t>
  </si>
  <si>
    <t>VALOR TOTAL SEM BDI (R$)</t>
  </si>
  <si>
    <t>VALOR TOTAL COM BDI (R$)</t>
  </si>
  <si>
    <t>%</t>
  </si>
  <si>
    <t>TOTAL</t>
  </si>
  <si>
    <t xml:space="preserve"> Moreno, março de 2016</t>
  </si>
  <si>
    <t>Gusmão Planejamento e Obras Ltda</t>
  </si>
  <si>
    <t>Antônio Nunes da Silva Filho</t>
  </si>
  <si>
    <t>Eng. Civil - CREA 16.122 - D/PE</t>
  </si>
  <si>
    <t>ANEXO VI- PLANILHA ORÇAMENTÁRIA</t>
  </si>
  <si>
    <t>OBJETO</t>
  </si>
  <si>
    <t>Município:</t>
  </si>
  <si>
    <t>LOCAL</t>
  </si>
  <si>
    <t>REFERENCIAL</t>
  </si>
  <si>
    <t>CÓDIGO</t>
  </si>
  <si>
    <t xml:space="preserve">DISCRIMINAÇÃO DOS SERVIÇOS </t>
  </si>
  <si>
    <t>UNID.</t>
  </si>
  <si>
    <t>QUANTIDADE PREVISTA</t>
  </si>
  <si>
    <t>VALOR UNITÁRIO</t>
  </si>
  <si>
    <t>VALOR TOTAL</t>
  </si>
  <si>
    <t>BDI</t>
  </si>
  <si>
    <t>UNITÁRIO</t>
  </si>
  <si>
    <t>BDI (15,00%)</t>
  </si>
  <si>
    <t>BDI (25%)</t>
  </si>
  <si>
    <t>TOTAL UNITÁRIO</t>
  </si>
  <si>
    <t>ADMINISTRAÇÃO DA OBRA</t>
  </si>
  <si>
    <t>COMPOSIÇÃO</t>
  </si>
  <si>
    <t xml:space="preserve">ADMINISTRAÇÃO LOCAL DA OBRA </t>
  </si>
  <si>
    <t>MÊS</t>
  </si>
  <si>
    <t>LIGAÇÃO DOMICILIAR DE ÁGUA, DA REDE AO HIDRÔMETRO, COMPOSTO POR COLAR DE TOMADA DE PVC COM TRAVAS DE 50MMX1/2, ADAPTADOR PVC SOLDÁVEL/ROSCA 20MMX1/2, TUBO PVC SOLDÁVEL ÁGUA FRIA 20MM E REGISTRO DE PVC ESFERA ROSCÁVEL 1/2 - FORNECIMENTO E INSTALAÇÃO</t>
  </si>
  <si>
    <t>FECHAMENTO, LIMPEZA, DEMOLIÇÕES E RETIRADAS</t>
  </si>
  <si>
    <t>DEMOLIÇÃO DE PISO CIMENTADO, INCLUSIVE LASTRO DE CONCRETO</t>
  </si>
  <si>
    <t>CARGA E TRANSPORTE DE MATERIAIS</t>
  </si>
  <si>
    <t>ESTRUTURAS DE CONCRETO - FUNDAÇÃO E SUPERESTRUTURA</t>
  </si>
  <si>
    <t>6.3</t>
  </si>
  <si>
    <t>6.4</t>
  </si>
  <si>
    <t>6.5</t>
  </si>
  <si>
    <t>FABRICAÇÃO DE FÔRMA PARA ESTRUTURAS, EM CHAPA DE MADEIRA COMPENSADA PLASTIFICADA, E = 12 MM.</t>
  </si>
  <si>
    <t>6.6</t>
  </si>
  <si>
    <t>MONTAGEM E DESMONTAGEM DE FÔRMA EM ESTRUTURAS, EM CHAPA DE MADEIRA COMPENSADA PLASTIFICADA, 4 UTILIZAÇÕES.</t>
  </si>
  <si>
    <t>6.7</t>
  </si>
  <si>
    <t>ARMAÇÃO EM UMA ESTRUTURA CONVENCIONAL DE CONCRETO ARMADO UTILIZANDO AÇO CA-50 DE 6.3 MM - AQUISIÇÃO / CORTE / DOBRA / MONTAGEM.</t>
  </si>
  <si>
    <t>KG</t>
  </si>
  <si>
    <t>6.8</t>
  </si>
  <si>
    <t>ARMAÇÃO EM UMA ESTRUTURA CONVENCIONAL DE CONCRETO ARMADO UTILIZANDO AÇO CA-50 DE 10.0 MM - AQUISIÇÃO / CORTE / DOBRA / MONTAGEM.</t>
  </si>
  <si>
    <t>6.9</t>
  </si>
  <si>
    <t>ARMAÇÃO EM UMA ESTRUTURA CONVENCIONAL DE CONCRETO ARMADO UTILIZANDO AÇO CA-50 DE 12.5 MM - AQUISIÇÃO / CORTE / DOBRA / MONTAGEM.</t>
  </si>
  <si>
    <t>6.10</t>
  </si>
  <si>
    <t>ARMAÇÃO EM UMA ESTRUTURA CONVENCIONAL DE CONCRETO ARMADO UTILIZANDO AÇO CA-60 DE 5.0 MM - AQUISIÇÃO / CORTE / DOBRA / MONTAGEM.</t>
  </si>
  <si>
    <t>6.11</t>
  </si>
  <si>
    <t>PISO INTETRAVADO COM 0,10X0,20X0,08 M NATURAL, ASSENTADA SOBRE COLCHÃO DE AREIA, INCLUSIVE REGULARIZAÇÃO MANUAL DO TERRENO</t>
  </si>
  <si>
    <t>PISO INTETRAVADO COM 0,10X0,20X0,08 M GRAFITE, ASSENTADA SOBRE COLCHÃO DE AREIA, INCLUSIVE REGULARIZAÇÃO MANUAL DO TERRENO</t>
  </si>
  <si>
    <t>PEÇA DE ARREMATE EM CONCRETO MOLDADO NO LOCAL, DIM. (0,10X0,50X0,20)M, REJUNTADO EM ARGAMASSA NO TRACO 1:3,5 (CIMENTO E AREIA)</t>
  </si>
  <si>
    <t>INSTALAÇÕES ELÉTRICAS (FORNECIMENTO E INSTALAÇÃO)</t>
  </si>
  <si>
    <t>CAIXA PARA MEDICAO MONOFASICA PARA USO EXTERNO</t>
  </si>
  <si>
    <t>CAIXA DE PASSAGEM 40X40X80 FUNDO BRITA C/ TAMPA</t>
  </si>
  <si>
    <t>ELETRODUTO DE PVC RIGIDO ROSCAVEL DN 15MM (1/2") INCL CONEXOES, FORNECIMENTO E INSTALACAO</t>
  </si>
  <si>
    <t>9.5</t>
  </si>
  <si>
    <t>ELETRODUTO DE PVC ROSCÁVEL DE 2 1/2, INCL CONEXOES, FORNECIMENTO E INSTALAÇÃO</t>
  </si>
  <si>
    <t>9.6</t>
  </si>
  <si>
    <t>ELETRODUTO DE PVC RIGIDO ROSCAVEL DN (3/4") INCL CONEXOES, ENVELOPADO - FORNECIMENTO E INSTALACAO</t>
  </si>
  <si>
    <t>9.7</t>
  </si>
  <si>
    <t>9.8</t>
  </si>
  <si>
    <t>ELETRODUTO DE PVC RIGIDO ROSCAVEL DN (3/4") INCL CONEXOES, FORNECIMENTO E INSTALACAO</t>
  </si>
  <si>
    <t>9.9</t>
  </si>
  <si>
    <t>CURVA FERRO GALVANIZADO 90G ROSCA FEMEA REF. 2 1/2", FORNECIMENTO E INSTALAÇÃO</t>
  </si>
  <si>
    <t>9.10</t>
  </si>
  <si>
    <t>9.11</t>
  </si>
  <si>
    <t>9.12</t>
  </si>
  <si>
    <t>POSTES E LUMINÁRIAS</t>
  </si>
  <si>
    <t>9.13</t>
  </si>
  <si>
    <t>POSTE DE CONCRETO DUPLO T, 100 KG, H = 8 M (NBR 8451)INCLUSIVE ESCAVACAO, EXCLUSIVE TRANSPORTE - FORNECIMENTO E INSTALAÇÃO</t>
  </si>
  <si>
    <t>9.14</t>
  </si>
  <si>
    <t>POSTE DE ACO CONICO CONTINUO RETO, COM 04 PETALAS  E LÂMPADAS DE 250W, H=11M - FORNECIMENTO E INSTALACAO</t>
  </si>
  <si>
    <t>9.15</t>
  </si>
  <si>
    <t>LUMINÁRIA EW BLAST POWERCORE BCP473 COMPLETA OU SIMILAR - FORNECIMENTO E INSTALAÇÃO</t>
  </si>
  <si>
    <t>9.16</t>
  </si>
  <si>
    <t>LUMINARIA AQUALED 2L - FORNECIMENTO E INSTALAÇÃO</t>
  </si>
  <si>
    <t>9.17</t>
  </si>
  <si>
    <t>10.0</t>
  </si>
  <si>
    <t xml:space="preserve">PLACA DE SINALIZACAO EM CHAPA DE ALUMINIO COM PINTURA REFLETIVA, E = 2 MM, INCLUSIVE FIXAÇÃO </t>
  </si>
  <si>
    <t>SUB TOTAL</t>
  </si>
  <si>
    <t>TOTAL GERAL</t>
  </si>
  <si>
    <t>REFERÊNCIA:</t>
  </si>
  <si>
    <t>SINAPI NACIONAL - JANEIRO / 2016 com desoneração</t>
  </si>
  <si>
    <t>ANEXO XVII- MEMÓRIA DE CÁLCULO</t>
  </si>
  <si>
    <t>VALORES</t>
  </si>
  <si>
    <t>Comprimento</t>
  </si>
  <si>
    <t>Largura</t>
  </si>
  <si>
    <t xml:space="preserve">Altura </t>
  </si>
  <si>
    <t>Taxa</t>
  </si>
  <si>
    <t>Material</t>
  </si>
  <si>
    <t>Mão de Obra</t>
  </si>
  <si>
    <t>Transporte</t>
  </si>
  <si>
    <t>Eqp (Hp)</t>
  </si>
  <si>
    <t>Eqp (hi)</t>
  </si>
  <si>
    <t>Administração</t>
  </si>
  <si>
    <t>Depósito de materiais e ferramentas - Pórtico 2</t>
  </si>
  <si>
    <t>Canteiro de obra (escritório) - PÓRTICO 2</t>
  </si>
  <si>
    <t>Canteiro de obra (sanitários) - PÓRTICO 2</t>
  </si>
  <si>
    <t>Canteiro de obra - PÓRTICO 2</t>
  </si>
  <si>
    <t>Canteiro de obra - PÓRTICO 1</t>
  </si>
  <si>
    <t>totem</t>
  </si>
  <si>
    <t>Pórtico 1</t>
  </si>
  <si>
    <t>Pórtico 2</t>
  </si>
  <si>
    <t>área com vegetação - pórtico 1</t>
  </si>
  <si>
    <t>área com vegetação - pórtico 2</t>
  </si>
  <si>
    <t>PÓRTICO 1</t>
  </si>
  <si>
    <t>AREA DO PISO CIMENTADO ATUAL</t>
  </si>
  <si>
    <t>PÓRTICO 2</t>
  </si>
  <si>
    <t>Sapatas isoladas Pórtico 1</t>
  </si>
  <si>
    <t>S1</t>
  </si>
  <si>
    <t>S2</t>
  </si>
  <si>
    <t>S3</t>
  </si>
  <si>
    <t>Sapatas isoladas Pórtico 2</t>
  </si>
  <si>
    <t>Sapatas isoladas Totem</t>
  </si>
  <si>
    <t>Sapata isolada Totem</t>
  </si>
  <si>
    <t>Escavação</t>
  </si>
  <si>
    <t>Volume de sólidos sob o terreno</t>
  </si>
  <si>
    <t>CONCRETO MAGRO</t>
  </si>
  <si>
    <t>CONCRETO DAS SAPATAS ISOLADAS E PILARES DE FUNDAÇÃO</t>
  </si>
  <si>
    <t>Vol.</t>
  </si>
  <si>
    <t>Tx empol.</t>
  </si>
  <si>
    <t>Remoção de material de 1ª categoria</t>
  </si>
  <si>
    <t>Remoção de entulhos</t>
  </si>
  <si>
    <t>Remoção de material de escavação</t>
  </si>
  <si>
    <t>Remoção de material de demolição</t>
  </si>
  <si>
    <t>Volume remoção</t>
  </si>
  <si>
    <t>DIST.(KM)</t>
  </si>
  <si>
    <t>Remoção de material x quilometro percorrido</t>
  </si>
  <si>
    <t>Vol. Remoção s/ empolamento</t>
  </si>
  <si>
    <t>taxa</t>
  </si>
  <si>
    <t>Volume removido sem empolamento x 1,60</t>
  </si>
  <si>
    <t>Volume removido sem empolamento x 1,40</t>
  </si>
  <si>
    <t>CONCRETO NÃO ESTRUTURAL</t>
  </si>
  <si>
    <t>ARMAÇÃO DA FUNDAÇÃO - PRANCHA 01/03 - Pórtico 1</t>
  </si>
  <si>
    <t>ARMAÇÃO DA FUNDAÇÃO - PRANCHA 01/03 - Pórtico 2</t>
  </si>
  <si>
    <t>ARMAÇÃO DA FUNDAÇÃO - PRANCHA 01/02 - Totem</t>
  </si>
  <si>
    <t>Subtotal</t>
  </si>
  <si>
    <t>CPU 6.001</t>
  </si>
  <si>
    <t>ARMAÇÃO DO PÓRTICO - PRANCHA 01/03 - Pórtico 1</t>
  </si>
  <si>
    <t>Pilares</t>
  </si>
  <si>
    <t>vigas</t>
  </si>
  <si>
    <t>Laje</t>
  </si>
  <si>
    <t>ARMAÇÃO DO PÓRTICO - PRANCHA 01/03 - Pórtico 2</t>
  </si>
  <si>
    <t>ARMAÇÃO DO TOTEM - PRANCHA 01/02 - Totem</t>
  </si>
  <si>
    <t>Pilar</t>
  </si>
  <si>
    <t>CPU 6.002</t>
  </si>
  <si>
    <t>CPU 6.003</t>
  </si>
  <si>
    <t>ARMAÇÃO DO PÓRTICO - PRANCHA 02/03 - Pórtico 1</t>
  </si>
  <si>
    <t xml:space="preserve">FERRO CA-50 6.3 </t>
  </si>
  <si>
    <t>ARMAÇÃO DO PÓRTICO - PRANCHA 02/03 - Pórtico 2</t>
  </si>
  <si>
    <t>ARMAÇÃO DO PÓRTICO - PRANCHA 03/03 - Pórtico 1</t>
  </si>
  <si>
    <t>ARMAÇÃO DO PÓRTICO - PRANCHA 03/03 - Pórtico 2</t>
  </si>
  <si>
    <t>ARMAÇÃO DO PÓRTICO - PRANCHA 02/03 - Totem</t>
  </si>
  <si>
    <t>FERRO CA-50 6.3</t>
  </si>
  <si>
    <t>CPU 6.004</t>
  </si>
  <si>
    <t xml:space="preserve">FERRO CA-50 10.0 </t>
  </si>
  <si>
    <t>FERRO CA-50 10.0</t>
  </si>
  <si>
    <t>CPU 6.005</t>
  </si>
  <si>
    <t>FERRO CA-50 12.5</t>
  </si>
  <si>
    <t xml:space="preserve">FERRO CA-50 12.5 </t>
  </si>
  <si>
    <t>CPU 6.006</t>
  </si>
  <si>
    <t>FERRO CA-60 5.0</t>
  </si>
  <si>
    <t>PAISAGISMO - PRANCHA 01/04 - Pórtico 1</t>
  </si>
  <si>
    <t>PAISAGISMO - PRANCHA 01/04 - Pórtico 2</t>
  </si>
  <si>
    <t xml:space="preserve"> </t>
  </si>
  <si>
    <t>CORTES E ELEVAÇÕES - PRANCHA 03/04 - Pótico 1</t>
  </si>
  <si>
    <t>CORTES E VISTAS - PRANCHA 03/04 - Pótico 2</t>
  </si>
  <si>
    <t>ARQUITETURA - PRANCHA 01/01 - totem</t>
  </si>
  <si>
    <t>PINTURA ACRILICA</t>
  </si>
  <si>
    <t>PINTURA EPOXI</t>
  </si>
  <si>
    <t>poste pórtico 1</t>
  </si>
  <si>
    <t>poste pórtico 2</t>
  </si>
  <si>
    <t>Totem</t>
  </si>
  <si>
    <t>CPU 9.010</t>
  </si>
  <si>
    <t>CPU 10.001</t>
  </si>
  <si>
    <t>PORTICO 1</t>
  </si>
  <si>
    <t>PORTICO 2</t>
  </si>
  <si>
    <t>TOTEM 1</t>
  </si>
  <si>
    <t>TOTEM 2</t>
  </si>
  <si>
    <t>TOTEM 3</t>
  </si>
  <si>
    <t>PAISAGISMO - PRANCHA 01/04 - Pótico 1</t>
  </si>
  <si>
    <t>PAISAGISMO - PRANCHA 01/04 - Pótico 2</t>
  </si>
  <si>
    <t>PLANILHA ORÇAMENTÁRIA SEM BDI</t>
  </si>
  <si>
    <t>Custo (R$)</t>
  </si>
  <si>
    <t>Unitário</t>
  </si>
  <si>
    <t>Total</t>
  </si>
  <si>
    <t>PREFEITURA DA CIDADE DO MORENO</t>
  </si>
  <si>
    <t>ANEXO VII- CRONOGRAMA FÍSICO FINANCEIRO</t>
  </si>
  <si>
    <t>ATIVIDADE</t>
  </si>
  <si>
    <t>CUSTOS</t>
  </si>
  <si>
    <t>VALOR GLOBAL %</t>
  </si>
  <si>
    <t>Valor Mensal (R$)</t>
  </si>
  <si>
    <t>Percentual Mensal (%)</t>
  </si>
  <si>
    <t>Valor Acumulado (R$)</t>
  </si>
  <si>
    <t>Percentual Acumulado (%)</t>
  </si>
  <si>
    <t xml:space="preserve"> Eng. Civil - CREA 16.122 - D/PE</t>
  </si>
  <si>
    <t>PLANILHA DE COMPOSIÇÃO ANALÍTICA DA TAXA DE BDI</t>
  </si>
  <si>
    <t xml:space="preserve">                BDI =[</t>
  </si>
  <si>
    <t>{(1+AC+S+R+G)   x</t>
  </si>
  <si>
    <t>(1+DF)  x</t>
  </si>
  <si>
    <t>(1+L)}</t>
  </si>
  <si>
    <t xml:space="preserve"> -1] x 100</t>
  </si>
  <si>
    <t>(1-I)</t>
  </si>
  <si>
    <t>ONDE:</t>
  </si>
  <si>
    <t>AC = Taxa de rateio da Administração Central</t>
  </si>
  <si>
    <t>S    = Taxa representativa de seguros</t>
  </si>
  <si>
    <t xml:space="preserve">R    = Taxa representativa de riscos e imprevistos </t>
  </si>
  <si>
    <t>G    = Taxa representativa do ônus das garantias exigidas em editais</t>
  </si>
  <si>
    <t>DF =  Taxa representativa das despesas financeiras</t>
  </si>
  <si>
    <t xml:space="preserve">L    = Taxa representativa do lucro da empresa </t>
  </si>
  <si>
    <t xml:space="preserve">I      = Taxa representativa de impostos e taxas  </t>
  </si>
  <si>
    <t>Cálculo do BDI</t>
  </si>
  <si>
    <t>I (Impostos  e taxas)</t>
  </si>
  <si>
    <t>PIS</t>
  </si>
  <si>
    <t>=</t>
  </si>
  <si>
    <t>ISS</t>
  </si>
  <si>
    <t>COFINS</t>
  </si>
  <si>
    <t>CPRB(INSS)</t>
  </si>
  <si>
    <t>I(total)</t>
  </si>
  <si>
    <t>AC</t>
  </si>
  <si>
    <t>S</t>
  </si>
  <si>
    <t>R</t>
  </si>
  <si>
    <t>G</t>
  </si>
  <si>
    <t>DF</t>
  </si>
  <si>
    <t>L</t>
  </si>
  <si>
    <t>I</t>
  </si>
  <si>
    <t>(1+AC+S+R+G) =</t>
  </si>
  <si>
    <t>(1+DF)                =</t>
  </si>
  <si>
    <t>(1+L)                   =</t>
  </si>
  <si>
    <t>(1-I)                     =</t>
  </si>
  <si>
    <t xml:space="preserve">BDI = </t>
  </si>
  <si>
    <t>Art. 23 - A base de cálculo do imposto é o preço do serviço.</t>
  </si>
  <si>
    <t xml:space="preserve"> § 6º Na prestação dos serviços de Construção Civil, a base de cálculo é o </t>
  </si>
  <si>
    <t>preço dos serviços, deduzidas as parcelas correspondentes a:</t>
  </si>
  <si>
    <t>I - a 40 % (quarenta por cento) do valor do serviço, a título de materiais</t>
  </si>
  <si>
    <t>Prefeitura da Cidade de Moreno</t>
  </si>
  <si>
    <t xml:space="preserve">ANEXO X- COMPOSIÇÃO DA TAXA DE BONIFICAÇÃO E DESPESAS INDIRETAS </t>
  </si>
  <si>
    <t xml:space="preserve"> BDI PARA FORNECIMENTO DE MATERIAIS E EQUIPAMENTOS</t>
  </si>
  <si>
    <t>TAXA DE BONIFICAÇÃO E DESPESAS INDIRETAS - BDI</t>
  </si>
  <si>
    <t>Empresa:</t>
  </si>
  <si>
    <t>Licitação:</t>
  </si>
  <si>
    <t>Objeto:</t>
  </si>
  <si>
    <t>ADMINISTRAÇÃO CENTRAL</t>
  </si>
  <si>
    <t>AC 01</t>
  </si>
  <si>
    <t>Despesas Administrativas</t>
  </si>
  <si>
    <t>AC 02</t>
  </si>
  <si>
    <t>Outros</t>
  </si>
  <si>
    <t>LUCRO</t>
  </si>
  <si>
    <t>L 01</t>
  </si>
  <si>
    <t>Lucro</t>
  </si>
  <si>
    <t>DESPESAS FINANCEIRAS</t>
  </si>
  <si>
    <t>DF 01</t>
  </si>
  <si>
    <t>Despesas Financeiras</t>
  </si>
  <si>
    <t>SEGUROS, RISCOS e GARANTIAS</t>
  </si>
  <si>
    <t>R 01</t>
  </si>
  <si>
    <t>Seguros</t>
  </si>
  <si>
    <t>R 02</t>
  </si>
  <si>
    <t>Garantias</t>
  </si>
  <si>
    <t>R 03</t>
  </si>
  <si>
    <t>Riscos</t>
  </si>
  <si>
    <t>TRIBUTOS</t>
  </si>
  <si>
    <t>T 01</t>
  </si>
  <si>
    <t>T 02</t>
  </si>
  <si>
    <t>T 03</t>
  </si>
  <si>
    <t>FÓRMULA PARA O CÁLCULO DO BDI</t>
  </si>
  <si>
    <t>BDI (%)= {[(1+AC/100+ R/100)x(1+DF/100)X(1+L/100)]/(1-T/100)-1}x100</t>
  </si>
  <si>
    <t>BDI(%)=</t>
  </si>
  <si>
    <t>BDI(%) ADOTADO</t>
  </si>
  <si>
    <t>OBS: Para essa composição foram consideradas as diretrizes estipuladas pelo Acordão Nº 2622/2013 do TCU.</t>
  </si>
  <si>
    <t>COMPOSIÇÃO DE ENCARGOS SOCIAIS SOBRE A MÃO DE OBRA - HORISTA (DESONERADO)</t>
  </si>
  <si>
    <t>ENCARGOS SOCIAIS SOBRE O SALÁRIO - DESONERADO</t>
  </si>
  <si>
    <t>DESCRIÇÃO</t>
  </si>
  <si>
    <t xml:space="preserve">GRUPO A </t>
  </si>
  <si>
    <t>GRUPO B</t>
  </si>
  <si>
    <t>GRUPO C</t>
  </si>
  <si>
    <t>GRUPO D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</si>
  <si>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</si>
  <si>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</si>
  <si>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</si>
  <si>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</si>
  <si>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</si>
  <si>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</si>
  <si>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</si>
  <si>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</si>
  <si>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</si>
  <si>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</si>
  <si>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</si>
  <si>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</si>
  <si>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</si>
  <si>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</si>
  <si>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</si>
  <si>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Trabalho</t>
  </si>
  <si>
    <t>A8</t>
  </si>
  <si>
    <t>FGTS</t>
  </si>
  <si>
    <t>A9</t>
  </si>
  <si>
    <t>SECONCI</t>
  </si>
  <si>
    <t>B</t>
  </si>
  <si>
    <t>B1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</si>
  <si>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</si>
  <si>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</si>
  <si>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</si>
  <si>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</si>
  <si>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</si>
  <si>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</si>
  <si>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</si>
  <si>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</si>
  <si>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</si>
  <si>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</si>
  <si>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</si>
  <si>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</si>
  <si>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</si>
  <si>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</si>
  <si>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</si>
  <si>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</si>
  <si>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</si>
  <si>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</si>
  <si>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</si>
  <si>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C</t>
  </si>
  <si>
    <t>C1</t>
  </si>
  <si>
    <t>Aviso Prévio Indenizado</t>
  </si>
  <si>
    <t>C2</t>
  </si>
  <si>
    <t>Aviso Prévio Trabalhado</t>
  </si>
  <si>
    <t>C3</t>
  </si>
  <si>
    <t>Férias Indenizadas+1/3</t>
  </si>
  <si>
    <t>C4</t>
  </si>
  <si>
    <t>Depósito Rescisão Sem Justa Causa</t>
  </si>
  <si>
    <t>C5</t>
  </si>
  <si>
    <t>Indenização Adicional</t>
  </si>
  <si>
    <t>D</t>
  </si>
  <si>
    <t>D1</t>
  </si>
  <si>
    <t>Reincidência de A sobre B</t>
  </si>
  <si>
    <t>D2</t>
  </si>
  <si>
    <t>Reincidência de A sobre Aviso Prévio Trabalhado + Reincidência de FGTS sobre Aviso Prévio Indenizado</t>
  </si>
  <si>
    <t>SUB-TOTAIS (GERAL</t>
  </si>
  <si>
    <t>TOTAL DOS ENCARGOS SOCIAIS SOBRE O SALÁRIO HORA</t>
  </si>
  <si>
    <t>COMPOSIÇÃO DE ENCARGOS SOCIAIS SOBRE A MÃO DE OBRA - MENSALISTA (DESONERADO)</t>
  </si>
  <si>
    <t>TOTAL DOS ENCARGOS SOCIAIS SOBRE O SALÁRIO MENSAL</t>
  </si>
  <si>
    <t>PREFEITURA DA CIDADE DE MORENO</t>
  </si>
  <si>
    <t>ANEXO XVI- COMPOSIÇÕES DE PREÇOS</t>
  </si>
  <si>
    <t>MATERIAL</t>
  </si>
  <si>
    <t>COEF.</t>
  </si>
  <si>
    <t>P. UNIT.</t>
  </si>
  <si>
    <t>P. TOTAL</t>
  </si>
  <si>
    <t>TOTAL (1)</t>
  </si>
  <si>
    <t>MÃO DE OBRA</t>
  </si>
  <si>
    <t>ENCARGOS SOCIAIS (50,08%)</t>
  </si>
  <si>
    <t>TOTAL (2)</t>
  </si>
  <si>
    <t>EQUIPAMENTOS</t>
  </si>
  <si>
    <t>TOTAL (3)</t>
  </si>
  <si>
    <r>
      <rPr>
        <b/>
        <sz val="8"/>
        <rFont val="Arial"/>
        <family val="2"/>
      </rPr>
      <t xml:space="preserve">TOTAL GERAL </t>
    </r>
    <r>
      <rPr>
        <b/>
        <sz val="6"/>
        <rFont val="Arial"/>
        <family val="2"/>
      </rPr>
      <t>TOTAL (1) + TOTAL (2) + TOTAL (3)</t>
    </r>
  </si>
  <si>
    <t xml:space="preserve">73784/001 - SINAPI COMP. ANALITICA </t>
  </si>
  <si>
    <t>ADAPTADOR PVC SOLDAVEL, COM FLANGE E ANEL DE VEDACAO, 20 MM X 1/2", PARA CAIXA D'AGUA</t>
  </si>
  <si>
    <t>EXTREMIDADE/TUBETE PARA HIDROMETRO PVC, COM ROSCA, CURTA, COM BUCHA LATAO, 1/2"</t>
  </si>
  <si>
    <t>h</t>
  </si>
  <si>
    <t>TOTAL (1) + TOTAL (2) + TOTAL (3)</t>
  </si>
  <si>
    <t xml:space="preserve">73801/002 - SINAPI COMP. ANALITICA </t>
  </si>
  <si>
    <t xml:space="preserve">92266 - SINAPI COMP. ANALITICA </t>
  </si>
  <si>
    <t>CHAPA DE MADEIRA COMPENSADA PLASTIFICADA PARA FORMA DE CONCRETO, DE *1,10 X 2,20* M, E = 12 MM</t>
  </si>
  <si>
    <t>PREMACIL</t>
  </si>
  <si>
    <t>FÁBRICA DO FORTE</t>
  </si>
  <si>
    <t>LAJES TIMBI</t>
  </si>
  <si>
    <t>4491</t>
  </si>
  <si>
    <t>PECA DE MADEIRA NATIVA / REGIONAL 7,5 X 7,5CM (3X3) NAO APARELHADA (P/FORMA)</t>
  </si>
  <si>
    <t>4517</t>
  </si>
  <si>
    <t>PECA DE MADEIRA NATIVA/REGIONAL 2,5 X 7,0 CM (SARRAFO-P/FORMA)</t>
  </si>
  <si>
    <t>5068</t>
  </si>
  <si>
    <t>PREGO DE ACO POLIDO COM CABECA 17 X 21 (2 X 11)</t>
  </si>
  <si>
    <t>88239</t>
  </si>
  <si>
    <t>AJUDANTE DE CARPINTEIRO COM ENCARGOS COMPLEMENTARES</t>
  </si>
  <si>
    <t>88262</t>
  </si>
  <si>
    <t>CARPINTEIRO DE FORMAS COM ENCARGOS COMPLEMENTARES</t>
  </si>
  <si>
    <t>91692</t>
  </si>
  <si>
    <t>SERRA CIRCULAR DE BANCADA COM MOTOR ELÉTRICO POTÊNCIA DE 5HP, COM COIFA PARA DISCO 10" - CHP DIURNO. AF_08/2015</t>
  </si>
  <si>
    <t>CHP</t>
  </si>
  <si>
    <t>91693</t>
  </si>
  <si>
    <t>SERRA CIRCULAR DE BANCADA COM MOTOR ELÉTRICO POTÊNCIA DE 5HP, COM COIFA PARA DISCO 10" - CHI DIURNO. AF_08/2015</t>
  </si>
  <si>
    <t>CHI</t>
  </si>
  <si>
    <t xml:space="preserve">92420 - SINAPI COMP. ANALITICA </t>
  </si>
  <si>
    <t>2692</t>
  </si>
  <si>
    <t>DESMOLDANTE PROTETOR PARA FORMAS DE MADEIRA, DE BASE OLEOSA EMULSIONADA EM AGUA</t>
  </si>
  <si>
    <t>40602</t>
  </si>
  <si>
    <t>APRUMADOR METALICO DE PILAR, COM ALTURA E ANGULO REGULAVEIS, EXTENSAO DE *1,50* A *2,80* M (LOCACAO) *COLETADO CAIXA*</t>
  </si>
  <si>
    <t>MES</t>
  </si>
  <si>
    <t>40604</t>
  </si>
  <si>
    <t>BARRA DE ANCORAGEM DE 0,80 M DE EXTENSAO, COM ROSCA DE 5/8", INCLUINDO PORCA E FLANGE (LOCACAO) *COLETADO CAIXA*</t>
  </si>
  <si>
    <t>40605</t>
  </si>
  <si>
    <t>PREGO DE ACO POLIDO COM CABECA DUPLA 17 X 27 (2 1/2 X 11) *COLETADO CAIXA*</t>
  </si>
  <si>
    <t>40625</t>
  </si>
  <si>
    <t>VIGA SANDUICHE METALICA VAZADA PARA TRAVAMENTO DE PILARES, DIMENSOES: ALTURA DE *8* CM, LARGURA DE *6* CM E EXTENSAO DE 2 M (LOCACAO) *COLETADO CAIXA*</t>
  </si>
  <si>
    <t xml:space="preserve">92776 - SINAPI COMP. ANALITICA </t>
  </si>
  <si>
    <t>92792</t>
  </si>
  <si>
    <t>CORTE E DOBRA DE AÇO CA-50, DIÂMETRO DE 6.3 MM, UTILIZADO EM ESTRUTURAS DIVERSAS, EXCETO LAJES. AF_12/2015</t>
  </si>
  <si>
    <t>337</t>
  </si>
  <si>
    <t>ARAME RECOZIDO 18 BWG, 1,25 MM (0,01 KG/M)</t>
  </si>
  <si>
    <t>40215</t>
  </si>
  <si>
    <t>ESPAÇADOR PLÁSTICO *COLETADO CAIXA*</t>
  </si>
  <si>
    <t>88238</t>
  </si>
  <si>
    <t>AJUDANTE DE ARMADOR COM ENCARGOS COMPLEMENTARES</t>
  </si>
  <si>
    <t>88245</t>
  </si>
  <si>
    <t>ARMADOR COM ENCARGOS COMPLEMENTARES</t>
  </si>
  <si>
    <t xml:space="preserve">92778 - SINAPI COMP. ANALITICA </t>
  </si>
  <si>
    <t>92794</t>
  </si>
  <si>
    <t>CORTE E DOBRA DE AÇO CA-50, DIÂMETRO DE 10.0 MM, UTILIZADO EM ESTRUTURAS DIVERSAS, EXCETO LAJES. AF_12/2015</t>
  </si>
  <si>
    <t xml:space="preserve">92779 - SINAPI COMP. ANALITICA </t>
  </si>
  <si>
    <t>92795</t>
  </si>
  <si>
    <t>CORTE E DOBRA DE AÇO CA-50, DIÂMETRO DE 12.5 MM, UTILIZADO EM ESTRUTURAS DIVERSAS, EXCETO LAJES. AF_12/2015</t>
  </si>
  <si>
    <t xml:space="preserve">92784 - SINAPI COMP. ANALITICA </t>
  </si>
  <si>
    <t>92800</t>
  </si>
  <si>
    <t>CORTE E DOBRA DE AÇO CA-60, DIÂMETRO DE 5.0 MM, UTILIZADO EM LAJE. AF_12/2015</t>
  </si>
  <si>
    <t xml:space="preserve">74138/001 - SINAPI COMP. ANALITICA </t>
  </si>
  <si>
    <t>CONCRETO USINADO BOMBEAVEL, CLASSE DE RESISTENCIA C30, COM BRITA 0 E 1, SLUMP =100 +/- 20 MM, INCLUI SERVICO DE BOMBEAMENTO (NBR 8953)</t>
  </si>
  <si>
    <t>10485</t>
  </si>
  <si>
    <t>!EM PROCESSO DE DESATIVACAO! VIBRADOR DE IMERSAO C/ MOTOR ELETRICO 2HP MONOFASICO QUALQUER DIAM C/ MANGOTE</t>
  </si>
  <si>
    <t>88309</t>
  </si>
  <si>
    <t>88316</t>
  </si>
  <si>
    <t xml:space="preserve">73764/6 - SINAPI COMP. ANALITICA </t>
  </si>
  <si>
    <t>AREIA GROSSA - POSTO JAZIDA/FORNECEDOR (SEM FRETE)</t>
  </si>
  <si>
    <t>BLOQUETE/PISO INTERTRAVADO DE CONCRETO - MODELO RETANGULAR/TIJOLINHO/PAVER/HOLANDES/PARALELEPIPEDO, 20 CM X 10 CM, E = 8 CM, RESISTENCIA DE 35 MPA (NBR 9781), COR NATURAL</t>
  </si>
  <si>
    <t>73789/1 - SINAPI COMP. ANALITICA</t>
  </si>
  <si>
    <t>92410</t>
  </si>
  <si>
    <t>MONTAGEM E DESMONTAGEM DE FÔRMA DE PILARES RETANGULARES E ESTRUTURAS SIMILARES COM ÁREA MÉDIA DAS SEÇÕES MENOR OU IGUAL A 0,25 M², PÉ-DIREITO SIMPLES, EM MADEIRA SERRADA, 2 UTILIZAÇÕES. AF_12/2015</t>
  </si>
  <si>
    <t>CONCRETO USINADO NÃO BOMBEÁVEL FCK=15MPA, INCLUSIVE LANCAMENTO E ADENSAMENTO</t>
  </si>
  <si>
    <t>SUBTOTAL</t>
  </si>
  <si>
    <t>ENCARGOS SOCIAIS (91,03%)</t>
  </si>
  <si>
    <t xml:space="preserve">TOTAL (1) + TOTAL (2) </t>
  </si>
  <si>
    <t>ELETRODUTO RÍGIDO ROSCÁVEL, PVC, DN 20 MM (1/2"), PARA CIRCUITOS TERMINAIS - FORNECIMENTO E INSTALAÇÃO. AF_12/2015</t>
  </si>
  <si>
    <t>LUVA PARA ELETRODUTO, PVC, ROSCÁVEL, DN 20 MM (1/2"), PARA CIRCUITOS TERMINAIS - FORNECIMENTO E INSTALAÇÃO. AF_12/2015</t>
  </si>
  <si>
    <t>RASGO EM CONTRAPISO PARA RAMAIS/ DISTRIBUIÇÃO COM DIÂMETROS MENORES OU IGUAIS A 40 MM. AF_05/2015</t>
  </si>
  <si>
    <t>ELETRODUTO RÍGIDO ROSCÁVEL, PVC, DN 75 MM (2 1/2") - FORNECIMENTO E INSTALAÇÃO. AF_12/2015</t>
  </si>
  <si>
    <t>LUVA PARA ELETRODUTO, PVC, ROSCÁVEL, DN 75 MM (2 1/2") - FORNECIMENTOE INSTALAÇÃO. AF_12/2015</t>
  </si>
  <si>
    <t>RASGO EM CONTRAPISO PARA RAMAIS/ DISTRIBUIÇÃO COM DIÂMETROS MAIORES QUE 40 MM E MENORES OU IGUAIS A 75 MM. AF_05/2015</t>
  </si>
  <si>
    <t>ELETRODUTO RÍGIDO ROSCÁVEL, PVC, DN 25 MM (3/4"), PARA CIRCUITOS TERMINAIS - FORNECIMENTO E INSTALAÇÃO. AF_12/2015</t>
  </si>
  <si>
    <t>LUVA PARA ELETRODUTO, PVC, ROSCÁVEL, DN 25 MM (3/4"), PARA CIRCUITOS TERMINAIS - FORNECIMENTO E INSTALAÇÃO</t>
  </si>
  <si>
    <t>83448 - SINAPI COMP. ANALITICA</t>
  </si>
  <si>
    <t>SINAPI  INSUMOS DESONERADO - JAN 2016</t>
  </si>
  <si>
    <t>39</t>
  </si>
  <si>
    <t>ACO CA-60, 5,0 MM, VERGALHAO</t>
  </si>
  <si>
    <t>367</t>
  </si>
  <si>
    <t>370</t>
  </si>
  <si>
    <t>AREIA MEDIA - POSTO JAZIDA/FORNECEDOR (SEM FRETE)</t>
  </si>
  <si>
    <t>1106</t>
  </si>
  <si>
    <t>CAL HIDRATADA CH-I PARA ARGAMASSAS</t>
  </si>
  <si>
    <t>1358</t>
  </si>
  <si>
    <t>CHAPA DE MADEIRA COMPENSADA RESINADA PARA FORMA DE CONCRETO, DE *2,2 X 1,1* M, E = 17 MM</t>
  </si>
  <si>
    <t>1379</t>
  </si>
  <si>
    <t>CIMENTO PORTLAND COMPOSTO CP II-32</t>
  </si>
  <si>
    <t>4718</t>
  </si>
  <si>
    <t>PEDRA BRITADA N. 2 (19 A 38 MM) POSTO PEDREIRA/FORNECEDOR, SEM FRETE</t>
  </si>
  <si>
    <t>4722</t>
  </si>
  <si>
    <t>PEDRA BRITADA N. 3 (38 A 50 MM) POSTO PEDREIRA/FORNECEDOR, SEM FRETE</t>
  </si>
  <si>
    <t>7258</t>
  </si>
  <si>
    <t>TIJOLO CERAMICO MACICO *5 X 10 X 20* CM</t>
  </si>
  <si>
    <t>93022 - SINAPI COMP. ANALITICA</t>
  </si>
  <si>
    <t>CURVA 90 GRAUS DE FERRO GALVANIZADO, COM ROSCA BSP FEMEA, DE 2 1/2"</t>
  </si>
  <si>
    <t>83394 - SINAPI COMP. ANALITICA</t>
  </si>
  <si>
    <t>POSTE DE CONCRETO DUPLO T, TIPO D, 100 KG, H = 7 M (NBR 8451)</t>
  </si>
  <si>
    <t>91634</t>
  </si>
  <si>
    <t>GUINDAUTO HIDRÁULICO, CAPACIDADE MÁXIMA DE CARGA 6500 KG, MOMENTO MÁXIMO DE CARGA 5,8 TM, ALCANCE MÁXIMO HORIZONTAL 7,60 M, INCLUSIVE CAMINHÃO TOCO PBT 9.700 KG, POTÊNCIA DE 160 CV - CHP DIURNO. AF_08/2015</t>
  </si>
  <si>
    <t>73769/4 - SINAPI COMP. ANALITICA</t>
  </si>
  <si>
    <t>ELETRODUTO DE ACO GALVANIZADO ELETROLITICO DN 75MM (3"), TIPO SEMI-PESADO, INCLUSIVE CONEXOES - FORNECIMENTO E INSTALACAO</t>
  </si>
  <si>
    <t>74246/1- SINAPI COMP. ANALITICA</t>
  </si>
  <si>
    <t>ITAIM</t>
  </si>
  <si>
    <t>OSRAM</t>
  </si>
  <si>
    <t>PHILIPS</t>
  </si>
  <si>
    <t>**-**-**-**-**</t>
  </si>
  <si>
    <t xml:space="preserve">LUMINÁRIA EW BLAST POWERCORE BCP473 OU SIMILAR </t>
  </si>
  <si>
    <t>TOTAL (1) + TOTAL (2)</t>
  </si>
  <si>
    <t>83479 - SINAPI COMP. ANALITICA</t>
  </si>
  <si>
    <t>REEF CORNER</t>
  </si>
  <si>
    <t>AQUALEDCIA</t>
  </si>
  <si>
    <t>83372 - SINAPI EMLURB COMP. ANALITICA</t>
  </si>
  <si>
    <t>PLANTIO DE MUDAS ARBUSTIVAS PERPETUA COM ALTURA 30 A 40CM, EM CAVA DE 60X60X60CM</t>
  </si>
  <si>
    <t>ADUBO BOVINO</t>
  </si>
  <si>
    <t>TERRA VEGETAL</t>
  </si>
  <si>
    <t>FERTILIZANTE NPK - 10:10:10</t>
  </si>
  <si>
    <t>CALCARIO DOLOMITICO A (POSTO PEDREIRA/FORNECEDOR, SEM FRETE)</t>
  </si>
  <si>
    <t>IDA JARDINS</t>
  </si>
  <si>
    <t>FLORESCER</t>
  </si>
  <si>
    <t>MUDAS ARBUSTIVA PERPETUA</t>
  </si>
  <si>
    <t>JARDINEIRO COM ENCARGOS COMPLEMENTARES</t>
  </si>
  <si>
    <t>84122 - SINAPI EMLURB COMP. ANALITICA</t>
  </si>
  <si>
    <t>PLACA DE SINALIZACAO EM CHAPA DE ALUMINIO COM PINTURA REFLETIVA, E = 2 MM</t>
  </si>
  <si>
    <t>11950</t>
  </si>
  <si>
    <t>BUCHA NYLON S-6 C/ PARAFUSO ACO ZINC CAB CHATA ROSCA SOBERBA 4,2 X 45MM</t>
  </si>
  <si>
    <t>PLANILHA DE QUANTIDADES</t>
  </si>
  <si>
    <t>Município: Moreno/PE</t>
  </si>
  <si>
    <t>SINAPI NACIONAL - FEVEREIRO/2015 com desoneração</t>
  </si>
  <si>
    <t xml:space="preserve"> Moreno,     maio de 2015.</t>
  </si>
  <si>
    <t>TABELAS COM OS VALORES REFERENCIAIS PARA TAXAS DE BDI</t>
  </si>
  <si>
    <t>Em conformidade ao " ACORDÃO Nº 2369/2011 - TCU - PLENÁRIO "</t>
  </si>
  <si>
    <t>BDI PARA OBRAS DE EDIFICAÇÕES - REFORMA (COM AMPLIAÇÃO DE ATÉ 40%)</t>
  </si>
  <si>
    <t>MÍNIMO</t>
  </si>
  <si>
    <t>MÁXIMO</t>
  </si>
  <si>
    <t>MÉDIA</t>
  </si>
  <si>
    <t>ADMINISTRAÇÃO CENTRAL-LUCRO</t>
  </si>
  <si>
    <t>AD.CENTRAL</t>
  </si>
  <si>
    <t>Até R$150.000,00</t>
  </si>
  <si>
    <t>De R$150.000,00 até R$1.500.000,00</t>
  </si>
  <si>
    <t>De R$150.000.000,00 até R$7.500.000,00</t>
  </si>
  <si>
    <t>De R$7.500.000,00até R$150.000.000,00</t>
  </si>
  <si>
    <t>Acima de R$150.000.000,00</t>
  </si>
  <si>
    <t>SEGUROS, RISCOS E GARANTIAS</t>
  </si>
  <si>
    <t>Obras simples em condições favoráveis com execução em ritmo adequado</t>
  </si>
  <si>
    <t>Obras mediana em área e ou prazo em condiçõesnormais de execução</t>
  </si>
  <si>
    <t>Obras complexas em condições adversas com execução em ritmo acelerado, em áreas restritas</t>
  </si>
  <si>
    <t>ISS*</t>
  </si>
  <si>
    <t>até 3,00%</t>
  </si>
  <si>
    <t>Obs: (*) % de ISS considerando 2%, 3,5% e 5% sobre 50% do Preço de Venda - Observar a legislação do Município.</t>
  </si>
  <si>
    <t>BDI PARA OBRAS HÍDRICAS - SANEAMENTO BÁSICO</t>
  </si>
  <si>
    <t>até 2,50%</t>
  </si>
  <si>
    <t>BDI PARA FORNECIMENTO DE MATERIAIS E EQUIPAMENTOS</t>
  </si>
  <si>
    <t>Administração Central</t>
  </si>
  <si>
    <t>Seguros, Riscos e Garantias</t>
  </si>
  <si>
    <t>0,88%</t>
  </si>
  <si>
    <t>0,54%</t>
  </si>
  <si>
    <t>0,24%</t>
  </si>
  <si>
    <t>0,42%</t>
  </si>
  <si>
    <t>0,21%</t>
  </si>
  <si>
    <t>0,25%</t>
  </si>
  <si>
    <t>0,57%</t>
  </si>
  <si>
    <t>0,43%</t>
  </si>
  <si>
    <t>Tributos</t>
  </si>
  <si>
    <t>PREFEITURA MUNICIPAL DE MAIRIPORÃ</t>
  </si>
  <si>
    <t>BASE DE CALCULO TABELA DE BDI- COM DESONERACAO EDIFICACAO</t>
  </si>
  <si>
    <t>OBS: Para essa composição foram consideradas as diretrizes estipuladas pelo</t>
  </si>
  <si>
    <t>Acordão Nº 2622/2013 do TCU</t>
  </si>
  <si>
    <t>OBS: De acordo com o Código Tributário do Município de Mairiporã:</t>
  </si>
  <si>
    <t>ISS do Município de Mairiporã= 5%</t>
  </si>
  <si>
    <t>RESPONSÁVEL TÉCNICO</t>
  </si>
  <si>
    <t>JULIANA DIAS VICENTE</t>
  </si>
  <si>
    <t xml:space="preserve"> SECRETARIA DE TURISMO, ESPORTES E JUVENTUDE</t>
  </si>
  <si>
    <t>SP OBRAS 186 COM DESONERAÇÃO</t>
  </si>
  <si>
    <t>SINAPI 2022/06 COM DESONERAÇÃO</t>
  </si>
  <si>
    <t>SIURB 2022/01 COM DESONERAÇÃO</t>
  </si>
  <si>
    <t>OBJETO: MAIRIPORÃ NOVA PUMP ARENA</t>
  </si>
  <si>
    <t>CAU  A42564-8      RRT 12425070</t>
  </si>
  <si>
    <t>Mairiporã, 31 de outubro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</si>
</sst>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\-??_);_(@_)"/>
    <numFmt numFmtId="165" formatCode="_(&quot;R$&quot;* #,##0.00_);_(&quot;R$&quot;* \(#,##0.00\);_(&quot;R$&quot;* \-??_);_(@_)"/>
    <numFmt numFmtId="166" formatCode="[$R$ -416]#,##0.00_);\([$R$ -416]#,##0.00\)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&quot;R$ &quot;#,##0.00_);&quot;(R$ &quot;#,##0.00\)"/>
    <numFmt numFmtId="170" formatCode="_-* #,##0.00\ _z_ł_-;\-* #,##0.00\ _z_ł_-;_-* \-??\ _z_ł_-;_-@_-"/>
    <numFmt numFmtId="171" formatCode="_-* #,##0.00_-;\-* #,##0.00_-;_-* \-??_-;_-@_-"/>
    <numFmt numFmtId="172" formatCode="&quot;R$ &quot;#,##0.00_);[Red]&quot;(R$ &quot;#,##0.00\)"/>
    <numFmt numFmtId="173" formatCode="&quot;R$ &quot;#,##0_);[Red]&quot;(R$ &quot;#,##0\)"/>
    <numFmt numFmtId="174" formatCode="mmmm\-yy;@"/>
    <numFmt numFmtId="175" formatCode="mm/yy"/>
    <numFmt numFmtId="176" formatCode="#,##0.00_ ;[Red]\-#,##0.00\ "/>
    <numFmt numFmtId="177" formatCode="#,##0_ ;[Red]\-#,##0\ "/>
    <numFmt numFmtId="178" formatCode="#,##0.000"/>
    <numFmt numFmtId="179" formatCode="#,##0.000_ ;\-#,##0.000\ "/>
    <numFmt numFmtId="180" formatCode="00.00%"/>
    <numFmt numFmtId="181" formatCode="#,##0.0000"/>
    <numFmt numFmtId="182" formatCode="#,##0.0"/>
    <numFmt numFmtId="183" formatCode="#,##0.0000_);\(#,##0.0000\)"/>
    <numFmt numFmtId="184" formatCode="_(* #,##0.0000_);_(* \(#,##0.0000\);_(* \-??_);_(@_)"/>
    <numFmt numFmtId="185" formatCode="_(* #,##0.000_);_(* \(#,##0.000\);_(* \-??_);_(@_)"/>
    <numFmt numFmtId="186" formatCode="0.00000000"/>
    <numFmt numFmtId="187" formatCode="#,##0.00_);\(#,##0.00\)"/>
  </numFmts>
  <fonts count="65"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1"/>
    </font>
    <font>
      <b/>
      <sz val="10"/>
      <name val="Arial"/>
      <family val="2"/>
    </font>
    <font>
      <u/>
      <sz val="8"/>
      <color indexed="12"/>
      <name val="Arial"/>
      <family val="2"/>
    </font>
    <font>
      <b/>
      <sz val="9"/>
      <name val="Calibri"/>
      <family val="2"/>
    </font>
    <font>
      <sz val="7.5"/>
      <name val="Calibri"/>
      <family val="2"/>
    </font>
    <font>
      <sz val="10"/>
      <color indexed="8"/>
      <name val="MS Sans Serif"/>
      <family val="2"/>
    </font>
    <font>
      <sz val="10"/>
      <name val="Swis721 Lt BT"/>
      <family val="2"/>
    </font>
    <font>
      <b/>
      <sz val="11"/>
      <color indexed="8"/>
      <name val="Cambria"/>
      <family val="2"/>
    </font>
    <font>
      <b/>
      <sz val="12"/>
      <color indexed="8"/>
      <name val="Tahoma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6"/>
      <name val="Arial"/>
      <family val="2"/>
    </font>
    <font>
      <sz val="10"/>
      <name val="Tahoma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b/>
      <sz val="10"/>
      <name val="Tahoma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9"/>
      <color indexed="8"/>
      <name val="Arial"/>
      <family val="2"/>
    </font>
    <font>
      <b/>
      <sz val="10"/>
      <name val="Calibri"/>
      <family val="2"/>
    </font>
    <font>
      <sz val="9"/>
      <name val="Tahoma"/>
      <family val="2"/>
    </font>
    <font>
      <sz val="11"/>
      <name val="Arial"/>
      <family val="2"/>
    </font>
    <font>
      <b/>
      <sz val="9"/>
      <name val="Tahoma"/>
      <family val="2"/>
    </font>
    <font>
      <sz val="10"/>
      <color indexed="8"/>
      <name val="Tahoma"/>
      <family val="2"/>
    </font>
    <font>
      <i/>
      <sz val="10"/>
      <name val="Tahoma"/>
      <family val="2"/>
    </font>
    <font>
      <sz val="10"/>
      <color indexed="10"/>
      <name val="Tahoma"/>
      <family val="2"/>
    </font>
    <font>
      <sz val="11"/>
      <color indexed="10"/>
      <name val="Calibri"/>
      <family val="2"/>
    </font>
    <font>
      <u/>
      <sz val="10"/>
      <name val="Tahoma"/>
      <family val="2"/>
    </font>
    <font>
      <b/>
      <i/>
      <sz val="10"/>
      <name val="Tahoma"/>
      <family val="2"/>
    </font>
    <font>
      <b/>
      <sz val="16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i/>
      <sz val="9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2"/>
      <color indexed="8"/>
      <name val="Tahoma"/>
      <family val="2"/>
    </font>
    <font>
      <b/>
      <sz val="8"/>
      <color indexed="8"/>
      <name val="Tahoma"/>
      <family val="2"/>
    </font>
    <font>
      <b/>
      <sz val="12"/>
      <color indexed="8"/>
      <name val="Calibri"/>
      <family val="2"/>
    </font>
    <font>
      <sz val="6"/>
      <color indexed="8"/>
      <name val="Arial"/>
      <family val="2"/>
    </font>
    <font>
      <b/>
      <sz val="6"/>
      <name val="Arial"/>
      <family val="2"/>
    </font>
    <font>
      <b/>
      <sz val="6"/>
      <color indexed="8"/>
      <name val="Arial"/>
      <family val="2"/>
    </font>
    <font>
      <b/>
      <sz val="8"/>
      <color indexed="10"/>
      <name val="Arial"/>
      <family val="2"/>
    </font>
    <font>
      <b/>
      <sz val="6"/>
      <color indexed="10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57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23"/>
        <bgColor indexed="55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7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1" fillId="0" borderId="0"/>
    <xf numFmtId="164" fontId="64" fillId="0" borderId="0" applyFill="0" applyBorder="0" applyAlignment="0" applyProtection="0"/>
    <xf numFmtId="165" fontId="64" fillId="0" borderId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/>
    <xf numFmtId="166" fontId="3" fillId="0" borderId="1">
      <alignment horizontal="center"/>
    </xf>
    <xf numFmtId="166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64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4" fillId="0" borderId="0" applyNumberFormat="0" applyFill="0" applyBorder="0" applyAlignment="0" applyProtection="0"/>
    <xf numFmtId="167" fontId="64" fillId="0" borderId="0" applyFill="0" applyBorder="0" applyAlignment="0" applyProtection="0"/>
    <xf numFmtId="167" fontId="64" fillId="0" borderId="0" applyFill="0" applyBorder="0" applyAlignment="0" applyProtection="0"/>
    <xf numFmtId="168" fontId="6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8" fontId="64" fillId="0" borderId="0" applyFill="0" applyBorder="0" applyAlignment="0" applyProtection="0"/>
    <xf numFmtId="168" fontId="6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7" fontId="64" fillId="0" borderId="0" applyFill="0" applyBorder="0" applyAlignment="0" applyProtection="0"/>
    <xf numFmtId="168" fontId="64" fillId="0" borderId="0" applyFill="0" applyBorder="0" applyAlignment="0" applyProtection="0"/>
    <xf numFmtId="2" fontId="5" fillId="5" borderId="0">
      <alignment horizontal="left" vertical="center"/>
    </xf>
    <xf numFmtId="2" fontId="6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64" fillId="0" borderId="0"/>
    <xf numFmtId="0" fontId="7" fillId="0" borderId="0"/>
    <xf numFmtId="0" fontId="7" fillId="0" borderId="0"/>
    <xf numFmtId="0" fontId="64" fillId="0" borderId="0"/>
    <xf numFmtId="0" fontId="1" fillId="0" borderId="0"/>
    <xf numFmtId="0" fontId="1" fillId="0" borderId="0"/>
    <xf numFmtId="0" fontId="8" fillId="0" borderId="0"/>
    <xf numFmtId="0" fontId="9" fillId="5" borderId="2">
      <alignment horizontal="left" vertical="center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164" fontId="64" fillId="0" borderId="0" applyFill="0" applyBorder="0" applyAlignment="0" applyProtection="0"/>
    <xf numFmtId="170" fontId="64" fillId="0" borderId="0" applyFill="0" applyBorder="0" applyAlignment="0" applyProtection="0"/>
    <xf numFmtId="164" fontId="64" fillId="0" borderId="0" applyFill="0" applyBorder="0" applyAlignment="0" applyProtection="0"/>
    <xf numFmtId="164" fontId="64" fillId="0" borderId="0" applyFill="0" applyBorder="0" applyAlignment="0" applyProtection="0"/>
    <xf numFmtId="171" fontId="64" fillId="0" borderId="0" applyFill="0" applyBorder="0" applyAlignment="0" applyProtection="0"/>
    <xf numFmtId="172" fontId="64" fillId="0" borderId="0" applyFill="0" applyBorder="0" applyAlignment="0" applyProtection="0"/>
    <xf numFmtId="164" fontId="64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64" fontId="64" fillId="0" borderId="0" applyFill="0" applyBorder="0" applyAlignment="0" applyProtection="0"/>
    <xf numFmtId="164" fontId="64" fillId="0" borderId="0" applyFill="0" applyBorder="0" applyAlignment="0" applyProtection="0"/>
    <xf numFmtId="0" fontId="10" fillId="0" borderId="0"/>
    <xf numFmtId="171" fontId="64" fillId="0" borderId="0" applyFill="0" applyBorder="0" applyAlignment="0" applyProtection="0"/>
    <xf numFmtId="164" fontId="64" fillId="0" borderId="0" applyFill="0" applyBorder="0" applyAlignment="0" applyProtection="0"/>
    <xf numFmtId="0" fontId="11" fillId="0" borderId="0">
      <alignment horizontal="left"/>
    </xf>
  </cellStyleXfs>
  <cellXfs count="846">
    <xf numFmtId="0" fontId="0" fillId="0" borderId="0" xfId="0"/>
    <xf numFmtId="0" fontId="12" fillId="0" borderId="0" xfId="0" applyFont="1"/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vertical="center" wrapText="1"/>
    </xf>
    <xf numFmtId="167" fontId="12" fillId="6" borderId="0" xfId="57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Border="1" applyAlignment="1"/>
    <xf numFmtId="4" fontId="12" fillId="0" borderId="0" xfId="0" applyNumberFormat="1" applyFont="1" applyAlignment="1"/>
    <xf numFmtId="0" fontId="13" fillId="7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167" fontId="14" fillId="9" borderId="6" xfId="57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horizontal="center" vertical="center"/>
    </xf>
    <xf numFmtId="167" fontId="14" fillId="9" borderId="3" xfId="57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/>
    <xf numFmtId="4" fontId="3" fillId="0" borderId="0" xfId="0" applyNumberFormat="1" applyFont="1" applyAlignment="1"/>
    <xf numFmtId="0" fontId="3" fillId="0" borderId="0" xfId="0" applyFont="1"/>
    <xf numFmtId="0" fontId="12" fillId="6" borderId="3" xfId="0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13" applyNumberFormat="1" applyFont="1" applyFill="1" applyBorder="1" applyAlignment="1" applyProtection="1">
      <alignment horizontal="justify" vertical="center" wrapText="1"/>
    </xf>
    <xf numFmtId="0" fontId="15" fillId="0" borderId="8" xfId="13" applyNumberFormat="1" applyFont="1" applyFill="1" applyBorder="1" applyAlignment="1" applyProtection="1">
      <alignment horizontal="center" vertical="center" wrapText="1"/>
    </xf>
    <xf numFmtId="167" fontId="14" fillId="9" borderId="5" xfId="57" applyNumberFormat="1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4" fontId="14" fillId="0" borderId="0" xfId="0" applyNumberFormat="1" applyFont="1" applyBorder="1" applyAlignment="1"/>
    <xf numFmtId="4" fontId="14" fillId="0" borderId="0" xfId="0" applyNumberFormat="1" applyFont="1" applyAlignment="1"/>
    <xf numFmtId="0" fontId="14" fillId="0" borderId="0" xfId="0" applyFont="1"/>
    <xf numFmtId="0" fontId="1" fillId="6" borderId="5" xfId="38" applyFont="1" applyFill="1" applyBorder="1" applyAlignment="1">
      <alignment horizontal="center" vertical="center" wrapText="1"/>
    </xf>
    <xf numFmtId="0" fontId="1" fillId="6" borderId="3" xfId="13" applyNumberFormat="1" applyFont="1" applyFill="1" applyBorder="1" applyAlignment="1" applyProtection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/>
    </xf>
    <xf numFmtId="0" fontId="12" fillId="6" borderId="5" xfId="0" applyFont="1" applyFill="1" applyBorder="1" applyAlignment="1">
      <alignment horizontal="center" vertical="center"/>
    </xf>
    <xf numFmtId="4" fontId="1" fillId="0" borderId="0" xfId="0" applyNumberFormat="1" applyFont="1" applyBorder="1" applyAlignment="1"/>
    <xf numFmtId="4" fontId="1" fillId="0" borderId="0" xfId="0" applyNumberFormat="1" applyFont="1" applyAlignment="1"/>
    <xf numFmtId="0" fontId="1" fillId="0" borderId="0" xfId="0" applyFont="1"/>
    <xf numFmtId="0" fontId="14" fillId="6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Alignment="1"/>
    <xf numFmtId="0" fontId="3" fillId="0" borderId="0" xfId="0" applyFont="1" applyFill="1"/>
    <xf numFmtId="0" fontId="12" fillId="6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71" fontId="18" fillId="0" borderId="3" xfId="57" applyFont="1" applyFill="1" applyBorder="1" applyAlignment="1" applyProtection="1">
      <alignment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center" vertical="center"/>
    </xf>
    <xf numFmtId="171" fontId="19" fillId="0" borderId="3" xfId="57" applyFont="1" applyFill="1" applyBorder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164" fontId="19" fillId="0" borderId="3" xfId="58" applyFont="1" applyFill="1" applyBorder="1" applyAlignment="1" applyProtection="1">
      <alignment vertical="center"/>
    </xf>
    <xf numFmtId="0" fontId="17" fillId="0" borderId="3" xfId="0" applyFont="1" applyFill="1" applyBorder="1" applyAlignment="1">
      <alignment horizontal="center" vertical="center"/>
    </xf>
    <xf numFmtId="4" fontId="19" fillId="0" borderId="3" xfId="58" applyNumberFormat="1" applyFont="1" applyFill="1" applyBorder="1" applyAlignment="1" applyProtection="1">
      <alignment horizontal="right" vertical="center"/>
    </xf>
    <xf numFmtId="171" fontId="17" fillId="0" borderId="3" xfId="57" applyFont="1" applyFill="1" applyBorder="1" applyAlignment="1" applyProtection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justify" vertical="center" wrapText="1"/>
    </xf>
    <xf numFmtId="4" fontId="19" fillId="0" borderId="3" xfId="58" applyNumberFormat="1" applyFont="1" applyFill="1" applyBorder="1" applyAlignment="1" applyProtection="1">
      <alignment vertical="center"/>
    </xf>
    <xf numFmtId="0" fontId="17" fillId="0" borderId="3" xfId="0" applyFont="1" applyFill="1" applyBorder="1" applyAlignment="1">
      <alignment horizontal="justify" vertical="center" wrapText="1"/>
    </xf>
    <xf numFmtId="4" fontId="19" fillId="0" borderId="3" xfId="47" applyNumberFormat="1" applyFont="1" applyFill="1" applyBorder="1" applyAlignment="1" applyProtection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justify" vertical="center" wrapText="1"/>
    </xf>
    <xf numFmtId="167" fontId="19" fillId="0" borderId="3" xfId="16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justify" vertical="center" wrapText="1"/>
    </xf>
    <xf numFmtId="4" fontId="19" fillId="0" borderId="3" xfId="0" applyNumberFormat="1" applyFont="1" applyFill="1" applyBorder="1" applyAlignment="1">
      <alignment horizontal="right" vertical="center"/>
    </xf>
    <xf numFmtId="164" fontId="17" fillId="0" borderId="3" xfId="58" applyFont="1" applyFill="1" applyBorder="1" applyAlignment="1" applyProtection="1">
      <alignment horizontal="righ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0" fontId="19" fillId="0" borderId="3" xfId="13" applyNumberFormat="1" applyFont="1" applyFill="1" applyBorder="1" applyAlignment="1" applyProtection="1">
      <alignment horizontal="justify" vertical="center" wrapText="1"/>
    </xf>
    <xf numFmtId="0" fontId="22" fillId="0" borderId="0" xfId="14" applyNumberFormat="1" applyFont="1" applyFill="1" applyBorder="1" applyAlignment="1" applyProtection="1">
      <alignment horizontal="center"/>
    </xf>
    <xf numFmtId="0" fontId="0" fillId="0" borderId="0" xfId="0" applyAlignment="1"/>
    <xf numFmtId="0" fontId="15" fillId="0" borderId="0" xfId="0" applyFont="1" applyFill="1" applyBorder="1"/>
    <xf numFmtId="0" fontId="22" fillId="0" borderId="0" xfId="11" applyNumberFormat="1" applyFont="1" applyFill="1" applyBorder="1" applyAlignment="1" applyProtection="1">
      <alignment horizontal="right" vertical="top" wrapText="1"/>
    </xf>
    <xf numFmtId="0" fontId="15" fillId="0" borderId="0" xfId="11" applyNumberFormat="1" applyFont="1" applyFill="1" applyBorder="1" applyAlignment="1" applyProtection="1">
      <alignment horizontal="justify" vertical="top"/>
      <protection locked="0"/>
    </xf>
    <xf numFmtId="0" fontId="23" fillId="0" borderId="0" xfId="0" applyFont="1" applyBorder="1" applyAlignment="1">
      <alignment horizontal="right" vertical="top" wrapText="1"/>
    </xf>
    <xf numFmtId="0" fontId="15" fillId="0" borderId="0" xfId="0" applyFont="1" applyFill="1" applyAlignment="1">
      <alignment vertical="top"/>
    </xf>
    <xf numFmtId="0" fontId="15" fillId="0" borderId="0" xfId="0" applyFont="1" applyFill="1"/>
    <xf numFmtId="0" fontId="22" fillId="0" borderId="0" xfId="11" applyNumberFormat="1" applyFont="1" applyFill="1" applyBorder="1" applyAlignment="1" applyProtection="1">
      <alignment horizontal="right" vertical="center" wrapText="1"/>
    </xf>
    <xf numFmtId="0" fontId="15" fillId="0" borderId="0" xfId="11" applyNumberFormat="1" applyFont="1" applyFill="1" applyBorder="1" applyAlignment="1" applyProtection="1">
      <protection locked="0"/>
    </xf>
    <xf numFmtId="0" fontId="23" fillId="0" borderId="0" xfId="0" applyFont="1" applyBorder="1" applyAlignment="1">
      <alignment horizontal="right" vertical="center" wrapText="1"/>
    </xf>
    <xf numFmtId="174" fontId="15" fillId="0" borderId="0" xfId="0" applyNumberFormat="1" applyFont="1" applyFill="1" applyAlignment="1">
      <alignment horizontal="left"/>
    </xf>
    <xf numFmtId="0" fontId="3" fillId="8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justify" vertical="center" wrapText="1"/>
    </xf>
    <xf numFmtId="167" fontId="0" fillId="0" borderId="9" xfId="0" applyNumberFormat="1" applyBorder="1" applyAlignment="1">
      <alignment vertical="center"/>
    </xf>
    <xf numFmtId="10" fontId="0" fillId="0" borderId="11" xfId="4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justify" vertical="center" wrapText="1"/>
    </xf>
    <xf numFmtId="167" fontId="0" fillId="0" borderId="8" xfId="0" applyNumberFormat="1" applyBorder="1" applyAlignment="1">
      <alignment vertical="center"/>
    </xf>
    <xf numFmtId="10" fontId="0" fillId="0" borderId="8" xfId="41" applyNumberFormat="1" applyFont="1" applyFill="1" applyBorder="1" applyAlignment="1" applyProtection="1">
      <alignment horizontal="center" vertical="center"/>
    </xf>
    <xf numFmtId="49" fontId="0" fillId="0" borderId="13" xfId="0" applyNumberFormat="1" applyBorder="1" applyAlignment="1">
      <alignment horizontal="center"/>
    </xf>
    <xf numFmtId="0" fontId="0" fillId="0" borderId="14" xfId="0" applyBorder="1"/>
    <xf numFmtId="167" fontId="0" fillId="0" borderId="14" xfId="0" applyNumberFormat="1" applyBorder="1" applyAlignment="1"/>
    <xf numFmtId="0" fontId="0" fillId="0" borderId="15" xfId="0" applyBorder="1" applyAlignment="1"/>
    <xf numFmtId="167" fontId="24" fillId="0" borderId="3" xfId="0" applyNumberFormat="1" applyFont="1" applyBorder="1" applyAlignment="1"/>
    <xf numFmtId="10" fontId="24" fillId="0" borderId="5" xfId="41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/>
    </xf>
    <xf numFmtId="167" fontId="0" fillId="0" borderId="0" xfId="0" applyNumberFormat="1" applyAlignment="1"/>
    <xf numFmtId="10" fontId="0" fillId="0" borderId="0" xfId="41" applyNumberFormat="1" applyFont="1" applyFill="1" applyBorder="1" applyAlignment="1" applyProtection="1">
      <alignment horizontal="center" vertical="center"/>
    </xf>
    <xf numFmtId="0" fontId="22" fillId="0" borderId="0" xfId="14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2" fillId="0" borderId="0" xfId="11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11" applyNumberFormat="1" applyFont="1" applyFill="1" applyBorder="1" applyAlignment="1" applyProtection="1">
      <alignment vertical="center"/>
      <protection locked="0"/>
    </xf>
    <xf numFmtId="175" fontId="15" fillId="0" borderId="0" xfId="0" applyNumberFormat="1" applyFont="1" applyFill="1" applyAlignment="1">
      <alignment vertical="center"/>
    </xf>
    <xf numFmtId="14" fontId="15" fillId="0" borderId="0" xfId="11" applyNumberFormat="1" applyFont="1" applyFill="1" applyBorder="1" applyAlignment="1" applyProtection="1">
      <alignment horizontal="left" vertical="center"/>
      <protection locked="0"/>
    </xf>
    <xf numFmtId="14" fontId="15" fillId="0" borderId="0" xfId="11" applyNumberFormat="1" applyFont="1" applyFill="1" applyBorder="1" applyAlignment="1" applyProtection="1">
      <alignment vertical="center"/>
      <protection locked="0"/>
    </xf>
    <xf numFmtId="0" fontId="15" fillId="0" borderId="0" xfId="11" applyNumberFormat="1" applyFont="1" applyFill="1" applyBorder="1" applyAlignment="1" applyProtection="1">
      <alignment horizontal="center" vertical="center"/>
      <protection locked="0"/>
    </xf>
    <xf numFmtId="0" fontId="22" fillId="0" borderId="0" xfId="11" applyNumberFormat="1" applyFont="1" applyFill="1" applyBorder="1" applyAlignment="1" applyProtection="1">
      <alignment horizontal="center" vertical="center" wrapText="1"/>
    </xf>
    <xf numFmtId="176" fontId="27" fillId="5" borderId="0" xfId="0" applyNumberFormat="1" applyFont="1" applyFill="1" applyAlignment="1">
      <alignment horizontal="center" vertical="center"/>
    </xf>
    <xf numFmtId="0" fontId="27" fillId="3" borderId="0" xfId="14" applyNumberFormat="1" applyFont="1" applyBorder="1" applyAlignment="1" applyProtection="1">
      <alignment horizontal="center" vertical="center"/>
    </xf>
    <xf numFmtId="9" fontId="27" fillId="3" borderId="0" xfId="41" applyFont="1" applyFill="1" applyBorder="1" applyAlignment="1" applyProtection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29" fillId="10" borderId="3" xfId="0" applyNumberFormat="1" applyFont="1" applyFill="1" applyBorder="1" applyAlignment="1">
      <alignment horizontal="justify" vertical="center" wrapText="1"/>
    </xf>
    <xf numFmtId="167" fontId="28" fillId="10" borderId="3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justify" vertical="center" wrapText="1"/>
    </xf>
    <xf numFmtId="176" fontId="30" fillId="0" borderId="8" xfId="0" applyNumberFormat="1" applyFont="1" applyFill="1" applyBorder="1" applyAlignment="1">
      <alignment vertical="center"/>
    </xf>
    <xf numFmtId="167" fontId="32" fillId="0" borderId="8" xfId="16" applyFont="1" applyFill="1" applyBorder="1" applyAlignment="1" applyProtection="1">
      <alignment vertical="center"/>
    </xf>
    <xf numFmtId="176" fontId="32" fillId="0" borderId="8" xfId="0" applyNumberFormat="1" applyFont="1" applyFill="1" applyBorder="1" applyAlignment="1">
      <alignment vertical="center"/>
    </xf>
    <xf numFmtId="49" fontId="30" fillId="0" borderId="13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justify" vertical="center" wrapText="1"/>
    </xf>
    <xf numFmtId="176" fontId="30" fillId="0" borderId="14" xfId="0" applyNumberFormat="1" applyFont="1" applyFill="1" applyBorder="1" applyAlignment="1">
      <alignment vertical="center"/>
    </xf>
    <xf numFmtId="167" fontId="32" fillId="0" borderId="14" xfId="16" applyFont="1" applyFill="1" applyBorder="1" applyAlignment="1" applyProtection="1">
      <alignment vertical="center"/>
    </xf>
    <xf numFmtId="167" fontId="32" fillId="0" borderId="15" xfId="16" applyFont="1" applyFill="1" applyBorder="1" applyAlignment="1" applyProtection="1">
      <alignment vertical="center"/>
    </xf>
    <xf numFmtId="0" fontId="30" fillId="6" borderId="8" xfId="0" applyNumberFormat="1" applyFont="1" applyFill="1" applyBorder="1" applyAlignment="1">
      <alignment horizontal="justify" vertical="center" wrapText="1"/>
    </xf>
    <xf numFmtId="10" fontId="0" fillId="0" borderId="0" xfId="0" applyNumberFormat="1" applyAlignment="1">
      <alignment vertical="center"/>
    </xf>
    <xf numFmtId="176" fontId="32" fillId="0" borderId="0" xfId="0" applyNumberFormat="1" applyFont="1" applyFill="1" applyBorder="1" applyAlignment="1">
      <alignment vertical="center"/>
    </xf>
    <xf numFmtId="167" fontId="32" fillId="0" borderId="0" xfId="16" applyFont="1" applyFill="1" applyBorder="1" applyAlignment="1" applyProtection="1">
      <alignment vertical="center"/>
    </xf>
    <xf numFmtId="49" fontId="29" fillId="10" borderId="3" xfId="0" applyNumberFormat="1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vertical="center"/>
    </xf>
    <xf numFmtId="0" fontId="32" fillId="10" borderId="3" xfId="0" applyFont="1" applyFill="1" applyBorder="1" applyAlignment="1">
      <alignment horizontal="center" vertical="center" wrapText="1"/>
    </xf>
    <xf numFmtId="176" fontId="32" fillId="10" borderId="3" xfId="0" applyNumberFormat="1" applyFont="1" applyFill="1" applyBorder="1" applyAlignment="1">
      <alignment horizontal="center" vertical="center"/>
    </xf>
    <xf numFmtId="167" fontId="29" fillId="10" borderId="3" xfId="16" applyFont="1" applyFill="1" applyBorder="1" applyAlignment="1" applyProtection="1">
      <alignment horizontal="center" vertical="center"/>
    </xf>
    <xf numFmtId="167" fontId="32" fillId="10" borderId="3" xfId="16" applyFont="1" applyFill="1" applyBorder="1" applyAlignment="1" applyProtection="1">
      <alignment vertical="center"/>
    </xf>
    <xf numFmtId="167" fontId="24" fillId="0" borderId="0" xfId="0" applyNumberFormat="1" applyFont="1" applyAlignment="1">
      <alignment vertical="center"/>
    </xf>
    <xf numFmtId="49" fontId="32" fillId="0" borderId="8" xfId="0" applyNumberFormat="1" applyFont="1" applyFill="1" applyBorder="1" applyAlignment="1">
      <alignment horizontal="center" vertical="center"/>
    </xf>
    <xf numFmtId="0" fontId="32" fillId="0" borderId="8" xfId="0" applyNumberFormat="1" applyFont="1" applyFill="1" applyBorder="1" applyAlignment="1">
      <alignment horizontal="center" vertical="center"/>
    </xf>
    <xf numFmtId="0" fontId="32" fillId="0" borderId="8" xfId="0" applyNumberFormat="1" applyFont="1" applyFill="1" applyBorder="1" applyAlignment="1">
      <alignment horizontal="justify" vertical="center" wrapText="1"/>
    </xf>
    <xf numFmtId="49" fontId="32" fillId="0" borderId="9" xfId="0" applyNumberFormat="1" applyFont="1" applyFill="1" applyBorder="1" applyAlignment="1">
      <alignment horizontal="center" vertical="center"/>
    </xf>
    <xf numFmtId="0" fontId="32" fillId="0" borderId="9" xfId="0" applyNumberFormat="1" applyFont="1" applyFill="1" applyBorder="1" applyAlignment="1">
      <alignment horizontal="center" vertical="center"/>
    </xf>
    <xf numFmtId="0" fontId="32" fillId="0" borderId="9" xfId="0" applyNumberFormat="1" applyFont="1" applyFill="1" applyBorder="1" applyAlignment="1">
      <alignment horizontal="justify" vertical="center" wrapText="1"/>
    </xf>
    <xf numFmtId="176" fontId="32" fillId="0" borderId="9" xfId="0" applyNumberFormat="1" applyFont="1" applyFill="1" applyBorder="1" applyAlignment="1">
      <alignment vertical="center"/>
    </xf>
    <xf numFmtId="167" fontId="32" fillId="0" borderId="9" xfId="16" applyFont="1" applyFill="1" applyBorder="1" applyAlignment="1" applyProtection="1">
      <alignment vertical="center"/>
    </xf>
    <xf numFmtId="171" fontId="12" fillId="6" borderId="8" xfId="0" applyNumberFormat="1" applyFont="1" applyFill="1" applyBorder="1" applyAlignment="1">
      <alignment vertical="center" wrapText="1"/>
    </xf>
    <xf numFmtId="167" fontId="32" fillId="0" borderId="16" xfId="16" applyFont="1" applyFill="1" applyBorder="1" applyAlignment="1" applyProtection="1">
      <alignment vertical="center"/>
    </xf>
    <xf numFmtId="49" fontId="29" fillId="0" borderId="9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>
      <alignment horizontal="justify" vertical="center" wrapText="1"/>
    </xf>
    <xf numFmtId="176" fontId="29" fillId="0" borderId="9" xfId="0" applyNumberFormat="1" applyFont="1" applyFill="1" applyBorder="1" applyAlignment="1">
      <alignment vertical="center"/>
    </xf>
    <xf numFmtId="167" fontId="29" fillId="0" borderId="9" xfId="16" applyFont="1" applyFill="1" applyBorder="1" applyAlignment="1" applyProtection="1">
      <alignment vertical="center"/>
    </xf>
    <xf numFmtId="171" fontId="12" fillId="6" borderId="0" xfId="0" applyNumberFormat="1" applyFont="1" applyFill="1" applyBorder="1" applyAlignment="1">
      <alignment vertical="center" wrapText="1"/>
    </xf>
    <xf numFmtId="49" fontId="29" fillId="0" borderId="8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justify" vertical="center" wrapText="1"/>
    </xf>
    <xf numFmtId="176" fontId="29" fillId="0" borderId="8" xfId="0" applyNumberFormat="1" applyFont="1" applyFill="1" applyBorder="1" applyAlignment="1">
      <alignment vertical="center"/>
    </xf>
    <xf numFmtId="167" fontId="29" fillId="0" borderId="8" xfId="16" applyFont="1" applyFill="1" applyBorder="1" applyAlignment="1" applyProtection="1">
      <alignment vertical="center"/>
    </xf>
    <xf numFmtId="0" fontId="31" fillId="0" borderId="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9" fontId="34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 wrapText="1"/>
    </xf>
    <xf numFmtId="0" fontId="34" fillId="0" borderId="8" xfId="0" applyFont="1" applyFill="1" applyBorder="1" applyAlignment="1">
      <alignment horizontal="center" vertical="center"/>
    </xf>
    <xf numFmtId="176" fontId="34" fillId="0" borderId="8" xfId="0" applyNumberFormat="1" applyFont="1" applyFill="1" applyBorder="1" applyAlignment="1">
      <alignment horizontal="center" vertical="center"/>
    </xf>
    <xf numFmtId="167" fontId="34" fillId="0" borderId="8" xfId="16" applyFont="1" applyFill="1" applyBorder="1" applyAlignment="1" applyProtection="1">
      <alignment horizontal="center" vertical="center"/>
    </xf>
    <xf numFmtId="167" fontId="0" fillId="0" borderId="0" xfId="0" applyNumberFormat="1" applyAlignment="1">
      <alignment vertical="center"/>
    </xf>
    <xf numFmtId="0" fontId="35" fillId="6" borderId="8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center" vertical="center"/>
    </xf>
    <xf numFmtId="167" fontId="36" fillId="0" borderId="8" xfId="16" applyFont="1" applyFill="1" applyBorder="1" applyAlignment="1" applyProtection="1">
      <alignment horizontal="center" vertical="center"/>
    </xf>
    <xf numFmtId="0" fontId="36" fillId="0" borderId="8" xfId="0" applyFont="1" applyFill="1" applyBorder="1" applyAlignment="1">
      <alignment vertical="center" wrapText="1"/>
    </xf>
    <xf numFmtId="0" fontId="36" fillId="0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49" fontId="15" fillId="8" borderId="4" xfId="0" applyNumberFormat="1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vertical="center"/>
    </xf>
    <xf numFmtId="0" fontId="15" fillId="8" borderId="17" xfId="0" applyFont="1" applyFill="1" applyBorder="1" applyAlignment="1">
      <alignment vertical="center" wrapText="1"/>
    </xf>
    <xf numFmtId="0" fontId="15" fillId="8" borderId="17" xfId="0" applyFont="1" applyFill="1" applyBorder="1" applyAlignment="1">
      <alignment horizontal="center" vertical="center"/>
    </xf>
    <xf numFmtId="176" fontId="15" fillId="8" borderId="17" xfId="0" applyNumberFormat="1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176" fontId="22" fillId="8" borderId="5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/>
    <xf numFmtId="0" fontId="22" fillId="0" borderId="0" xfId="12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 wrapText="1"/>
    </xf>
    <xf numFmtId="4" fontId="15" fillId="0" borderId="0" xfId="0" applyNumberFormat="1" applyFont="1" applyFill="1" applyAlignment="1">
      <alignment vertical="center"/>
    </xf>
    <xf numFmtId="4" fontId="15" fillId="0" borderId="0" xfId="41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4" fontId="15" fillId="0" borderId="0" xfId="0" applyNumberFormat="1" applyFont="1" applyFill="1" applyAlignment="1">
      <alignment horizontal="left" vertical="center"/>
    </xf>
    <xf numFmtId="4" fontId="23" fillId="0" borderId="0" xfId="0" applyNumberFormat="1" applyFont="1" applyFill="1" applyBorder="1" applyAlignment="1">
      <alignment horizontal="right" vertical="center" wrapText="1"/>
    </xf>
    <xf numFmtId="174" fontId="15" fillId="0" borderId="0" xfId="0" applyNumberFormat="1" applyFont="1" applyFill="1" applyAlignment="1">
      <alignment horizontal="left" vertical="center"/>
    </xf>
    <xf numFmtId="171" fontId="15" fillId="0" borderId="0" xfId="57" applyFont="1" applyFill="1" applyBorder="1" applyAlignment="1" applyProtection="1">
      <alignment vertical="center"/>
    </xf>
    <xf numFmtId="0" fontId="15" fillId="0" borderId="0" xfId="0" applyFont="1" applyFill="1" applyAlignment="1">
      <alignment horizontal="center" vertical="center"/>
    </xf>
    <xf numFmtId="4" fontId="22" fillId="0" borderId="0" xfId="13" applyNumberFormat="1" applyFont="1" applyFill="1" applyBorder="1" applyAlignment="1" applyProtection="1">
      <alignment horizontal="center" vertical="center" wrapText="1"/>
    </xf>
    <xf numFmtId="0" fontId="22" fillId="8" borderId="4" xfId="13" applyNumberFormat="1" applyFont="1" applyFill="1" applyBorder="1" applyAlignment="1" applyProtection="1">
      <alignment horizontal="center" vertical="center" wrapText="1"/>
    </xf>
    <xf numFmtId="0" fontId="22" fillId="8" borderId="18" xfId="13" applyNumberFormat="1" applyFont="1" applyFill="1" applyBorder="1" applyAlignment="1" applyProtection="1">
      <alignment horizontal="center" vertical="center" wrapText="1"/>
    </xf>
    <xf numFmtId="0" fontId="22" fillId="8" borderId="17" xfId="13" applyNumberFormat="1" applyFont="1" applyFill="1" applyBorder="1" applyAlignment="1" applyProtection="1">
      <alignment horizontal="center" vertical="center" wrapText="1"/>
    </xf>
    <xf numFmtId="4" fontId="22" fillId="8" borderId="17" xfId="13" applyNumberFormat="1" applyFont="1" applyFill="1" applyBorder="1" applyAlignment="1" applyProtection="1">
      <alignment horizontal="center" vertical="center" wrapText="1"/>
    </xf>
    <xf numFmtId="4" fontId="22" fillId="8" borderId="5" xfId="13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22" fillId="11" borderId="0" xfId="14" applyNumberFormat="1" applyFont="1" applyFill="1" applyBorder="1" applyAlignment="1" applyProtection="1">
      <alignment horizontal="center" vertical="center"/>
    </xf>
    <xf numFmtId="0" fontId="22" fillId="10" borderId="9" xfId="13" applyNumberFormat="1" applyFont="1" applyFill="1" applyBorder="1" applyAlignment="1" applyProtection="1">
      <alignment horizontal="center" vertical="center" wrapText="1"/>
    </xf>
    <xf numFmtId="0" fontId="22" fillId="10" borderId="9" xfId="13" applyNumberFormat="1" applyFont="1" applyFill="1" applyBorder="1" applyAlignment="1" applyProtection="1">
      <alignment vertical="center" wrapText="1"/>
    </xf>
    <xf numFmtId="0" fontId="15" fillId="10" borderId="9" xfId="13" applyNumberFormat="1" applyFont="1" applyFill="1" applyBorder="1" applyAlignment="1" applyProtection="1">
      <alignment horizontal="center" vertical="center" wrapText="1"/>
    </xf>
    <xf numFmtId="4" fontId="15" fillId="10" borderId="9" xfId="13" applyNumberFormat="1" applyFont="1" applyFill="1" applyBorder="1" applyAlignment="1" applyProtection="1">
      <alignment vertical="center" wrapText="1"/>
    </xf>
    <xf numFmtId="176" fontId="15" fillId="10" borderId="9" xfId="13" applyNumberFormat="1" applyFont="1" applyFill="1" applyBorder="1" applyAlignment="1" applyProtection="1">
      <alignment vertical="center" wrapText="1"/>
    </xf>
    <xf numFmtId="0" fontId="15" fillId="0" borderId="19" xfId="0" applyFont="1" applyFill="1" applyBorder="1"/>
    <xf numFmtId="167" fontId="15" fillId="0" borderId="8" xfId="16" applyFont="1" applyFill="1" applyBorder="1" applyAlignment="1" applyProtection="1">
      <alignment vertical="center" wrapText="1"/>
    </xf>
    <xf numFmtId="167" fontId="15" fillId="0" borderId="8" xfId="16" applyFont="1" applyFill="1" applyBorder="1" applyAlignment="1" applyProtection="1">
      <alignment vertical="center"/>
    </xf>
    <xf numFmtId="0" fontId="37" fillId="0" borderId="0" xfId="0" applyFont="1"/>
    <xf numFmtId="0" fontId="22" fillId="0" borderId="8" xfId="13" applyNumberFormat="1" applyFont="1" applyFill="1" applyBorder="1" applyAlignment="1" applyProtection="1">
      <alignment horizontal="center" vertical="center" wrapText="1"/>
    </xf>
    <xf numFmtId="0" fontId="22" fillId="0" borderId="8" xfId="13" applyNumberFormat="1" applyFont="1" applyFill="1" applyBorder="1" applyAlignment="1" applyProtection="1">
      <alignment vertical="center" wrapText="1"/>
    </xf>
    <xf numFmtId="4" fontId="15" fillId="0" borderId="8" xfId="13" applyNumberFormat="1" applyFont="1" applyFill="1" applyBorder="1" applyAlignment="1" applyProtection="1">
      <alignment vertical="center" wrapText="1"/>
    </xf>
    <xf numFmtId="176" fontId="15" fillId="0" borderId="8" xfId="13" applyNumberFormat="1" applyFont="1" applyFill="1" applyBorder="1" applyAlignment="1" applyProtection="1">
      <alignment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0" fontId="15" fillId="0" borderId="8" xfId="13" applyNumberFormat="1" applyFont="1" applyFill="1" applyBorder="1" applyAlignment="1" applyProtection="1">
      <alignment vertical="center" wrapText="1"/>
    </xf>
    <xf numFmtId="49" fontId="38" fillId="0" borderId="8" xfId="0" applyNumberFormat="1" applyFont="1" applyFill="1" applyBorder="1" applyAlignment="1">
      <alignment horizontal="center" vertical="center"/>
    </xf>
    <xf numFmtId="4" fontId="15" fillId="0" borderId="8" xfId="13" applyNumberFormat="1" applyFont="1" applyFill="1" applyBorder="1" applyAlignment="1" applyProtection="1">
      <alignment horizontal="right" vertical="center" wrapText="1"/>
    </xf>
    <xf numFmtId="177" fontId="15" fillId="0" borderId="8" xfId="0" applyNumberFormat="1" applyFont="1" applyFill="1" applyBorder="1" applyAlignment="1">
      <alignment horizontal="center" vertical="center"/>
    </xf>
    <xf numFmtId="4" fontId="15" fillId="0" borderId="8" xfId="16" applyNumberFormat="1" applyFont="1" applyFill="1" applyBorder="1" applyAlignment="1" applyProtection="1">
      <alignment vertical="center"/>
    </xf>
    <xf numFmtId="167" fontId="15" fillId="0" borderId="20" xfId="16" applyFont="1" applyFill="1" applyBorder="1" applyAlignment="1" applyProtection="1">
      <alignment vertical="center" wrapText="1"/>
    </xf>
    <xf numFmtId="167" fontId="15" fillId="0" borderId="20" xfId="16" applyFont="1" applyFill="1" applyBorder="1" applyAlignment="1" applyProtection="1">
      <alignment vertical="center"/>
    </xf>
    <xf numFmtId="0" fontId="15" fillId="0" borderId="8" xfId="13" applyNumberFormat="1" applyFont="1" applyFill="1" applyBorder="1" applyAlignment="1" applyProtection="1">
      <alignment horizontal="left" vertical="center" wrapText="1"/>
    </xf>
    <xf numFmtId="176" fontId="15" fillId="0" borderId="20" xfId="13" applyNumberFormat="1" applyFont="1" applyFill="1" applyBorder="1" applyAlignment="1" applyProtection="1">
      <alignment vertical="center" wrapText="1"/>
    </xf>
    <xf numFmtId="4" fontId="15" fillId="0" borderId="20" xfId="16" applyNumberFormat="1" applyFont="1" applyFill="1" applyBorder="1" applyAlignment="1" applyProtection="1">
      <alignment vertical="center"/>
    </xf>
    <xf numFmtId="4" fontId="22" fillId="10" borderId="3" xfId="16" applyNumberFormat="1" applyFont="1" applyFill="1" applyBorder="1" applyAlignment="1" applyProtection="1">
      <alignment horizontal="center" vertical="center"/>
    </xf>
    <xf numFmtId="4" fontId="22" fillId="10" borderId="3" xfId="13" applyNumberFormat="1" applyFont="1" applyFill="1" applyBorder="1" applyAlignment="1" applyProtection="1">
      <alignment horizontal="right" vertical="center" wrapText="1"/>
    </xf>
    <xf numFmtId="0" fontId="22" fillId="0" borderId="20" xfId="13" applyNumberFormat="1" applyFont="1" applyFill="1" applyBorder="1" applyAlignment="1" applyProtection="1">
      <alignment horizontal="center" vertical="center" wrapText="1"/>
    </xf>
    <xf numFmtId="0" fontId="22" fillId="0" borderId="20" xfId="13" applyNumberFormat="1" applyFont="1" applyFill="1" applyBorder="1" applyAlignment="1" applyProtection="1">
      <alignment vertical="center" wrapText="1"/>
    </xf>
    <xf numFmtId="0" fontId="15" fillId="0" borderId="20" xfId="13" applyNumberFormat="1" applyFont="1" applyFill="1" applyBorder="1" applyAlignment="1" applyProtection="1">
      <alignment horizontal="center" vertical="center" wrapText="1"/>
    </xf>
    <xf numFmtId="4" fontId="15" fillId="0" borderId="20" xfId="13" applyNumberFormat="1" applyFont="1" applyFill="1" applyBorder="1" applyAlignment="1" applyProtection="1">
      <alignment vertical="center" wrapText="1"/>
    </xf>
    <xf numFmtId="0" fontId="22" fillId="10" borderId="8" xfId="13" applyNumberFormat="1" applyFont="1" applyFill="1" applyBorder="1" applyAlignment="1" applyProtection="1">
      <alignment horizontal="center" vertical="center" wrapText="1"/>
    </xf>
    <xf numFmtId="0" fontId="22" fillId="10" borderId="8" xfId="13" applyNumberFormat="1" applyFont="1" applyFill="1" applyBorder="1" applyAlignment="1" applyProtection="1">
      <alignment vertical="center" wrapText="1"/>
    </xf>
    <xf numFmtId="0" fontId="15" fillId="10" borderId="8" xfId="13" applyNumberFormat="1" applyFont="1" applyFill="1" applyBorder="1" applyAlignment="1" applyProtection="1">
      <alignment horizontal="center" vertical="center" wrapText="1"/>
    </xf>
    <xf numFmtId="4" fontId="15" fillId="10" borderId="8" xfId="13" applyNumberFormat="1" applyFont="1" applyFill="1" applyBorder="1" applyAlignment="1" applyProtection="1">
      <alignment vertical="center" wrapText="1"/>
    </xf>
    <xf numFmtId="176" fontId="15" fillId="10" borderId="8" xfId="13" applyNumberFormat="1" applyFont="1" applyFill="1" applyBorder="1" applyAlignment="1" applyProtection="1">
      <alignment vertical="center" wrapText="1"/>
    </xf>
    <xf numFmtId="4" fontId="22" fillId="0" borderId="8" xfId="13" applyNumberFormat="1" applyFont="1" applyFill="1" applyBorder="1" applyAlignment="1" applyProtection="1">
      <alignment vertical="center" wrapText="1"/>
    </xf>
    <xf numFmtId="167" fontId="39" fillId="0" borderId="8" xfId="16" applyFont="1" applyFill="1" applyBorder="1" applyAlignment="1" applyProtection="1">
      <alignment vertical="center" wrapText="1"/>
    </xf>
    <xf numFmtId="167" fontId="39" fillId="0" borderId="8" xfId="16" applyFont="1" applyFill="1" applyBorder="1" applyAlignment="1" applyProtection="1">
      <alignment vertical="center"/>
    </xf>
    <xf numFmtId="0" fontId="39" fillId="0" borderId="0" xfId="0" applyFont="1"/>
    <xf numFmtId="0" fontId="40" fillId="0" borderId="0" xfId="0" applyFont="1"/>
    <xf numFmtId="0" fontId="15" fillId="0" borderId="8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39" fillId="0" borderId="8" xfId="0" applyFont="1" applyFill="1" applyBorder="1" applyAlignment="1">
      <alignment vertical="center"/>
    </xf>
    <xf numFmtId="4" fontId="15" fillId="0" borderId="8" xfId="57" applyNumberFormat="1" applyFont="1" applyFill="1" applyBorder="1" applyAlignment="1" applyProtection="1">
      <alignment vertical="center"/>
    </xf>
    <xf numFmtId="0" fontId="15" fillId="0" borderId="8" xfId="0" applyFont="1" applyFill="1" applyBorder="1" applyAlignment="1">
      <alignment horizontal="right" vertical="center"/>
    </xf>
    <xf numFmtId="167" fontId="39" fillId="0" borderId="20" xfId="16" applyFont="1" applyFill="1" applyBorder="1" applyAlignment="1" applyProtection="1">
      <alignment vertical="center" wrapText="1"/>
    </xf>
    <xf numFmtId="167" fontId="39" fillId="0" borderId="20" xfId="16" applyFont="1" applyFill="1" applyBorder="1" applyAlignment="1" applyProtection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176" fontId="38" fillId="0" borderId="8" xfId="16" applyNumberFormat="1" applyFont="1" applyFill="1" applyBorder="1" applyAlignment="1" applyProtection="1">
      <alignment vertical="center" wrapText="1"/>
    </xf>
    <xf numFmtId="0" fontId="15" fillId="0" borderId="8" xfId="0" applyFont="1" applyBorder="1" applyAlignment="1">
      <alignment horizontal="right" vertical="center"/>
    </xf>
    <xf numFmtId="4" fontId="38" fillId="0" borderId="8" xfId="16" applyNumberFormat="1" applyFont="1" applyFill="1" applyBorder="1" applyAlignment="1" applyProtection="1">
      <alignment vertical="center"/>
    </xf>
    <xf numFmtId="176" fontId="38" fillId="0" borderId="21" xfId="16" applyNumberFormat="1" applyFont="1" applyFill="1" applyBorder="1" applyAlignment="1" applyProtection="1">
      <alignment vertical="center" wrapText="1"/>
    </xf>
    <xf numFmtId="4" fontId="15" fillId="0" borderId="21" xfId="16" applyNumberFormat="1" applyFont="1" applyFill="1" applyBorder="1" applyAlignment="1" applyProtection="1">
      <alignment vertical="center"/>
    </xf>
    <xf numFmtId="176" fontId="22" fillId="0" borderId="21" xfId="0" applyNumberFormat="1" applyFont="1" applyFill="1" applyBorder="1" applyAlignment="1">
      <alignment horizontal="center" vertical="center"/>
    </xf>
    <xf numFmtId="4" fontId="22" fillId="0" borderId="21" xfId="16" applyNumberFormat="1" applyFont="1" applyFill="1" applyBorder="1" applyAlignment="1" applyProtection="1">
      <alignment vertical="center"/>
    </xf>
    <xf numFmtId="176" fontId="22" fillId="0" borderId="8" xfId="0" applyNumberFormat="1" applyFont="1" applyFill="1" applyBorder="1" applyAlignment="1">
      <alignment horizontal="center" vertical="center"/>
    </xf>
    <xf numFmtId="4" fontId="22" fillId="0" borderId="8" xfId="16" applyNumberFormat="1" applyFont="1" applyFill="1" applyBorder="1" applyAlignment="1" applyProtection="1">
      <alignment vertical="center"/>
    </xf>
    <xf numFmtId="178" fontId="15" fillId="0" borderId="8" xfId="13" applyNumberFormat="1" applyFont="1" applyFill="1" applyBorder="1" applyAlignment="1" applyProtection="1">
      <alignment vertical="center" wrapText="1"/>
    </xf>
    <xf numFmtId="176" fontId="15" fillId="0" borderId="21" xfId="13" applyNumberFormat="1" applyFont="1" applyFill="1" applyBorder="1" applyAlignment="1" applyProtection="1">
      <alignment vertical="center" wrapText="1"/>
    </xf>
    <xf numFmtId="177" fontId="15" fillId="0" borderId="21" xfId="0" applyNumberFormat="1" applyFont="1" applyFill="1" applyBorder="1" applyAlignment="1">
      <alignment horizontal="center" vertical="center"/>
    </xf>
    <xf numFmtId="4" fontId="22" fillId="10" borderId="19" xfId="16" applyNumberFormat="1" applyFont="1" applyFill="1" applyBorder="1" applyAlignment="1" applyProtection="1">
      <alignment horizontal="center" vertical="center"/>
    </xf>
    <xf numFmtId="4" fontId="22" fillId="10" borderId="19" xfId="13" applyNumberFormat="1" applyFont="1" applyFill="1" applyBorder="1" applyAlignment="1" applyProtection="1">
      <alignment horizontal="right" vertical="center" wrapText="1"/>
    </xf>
    <xf numFmtId="4" fontId="15" fillId="10" borderId="8" xfId="13" applyNumberFormat="1" applyFont="1" applyFill="1" applyBorder="1" applyAlignment="1" applyProtection="1">
      <alignment horizontal="center" vertical="center" wrapText="1"/>
    </xf>
    <xf numFmtId="4" fontId="15" fillId="10" borderId="21" xfId="13" applyNumberFormat="1" applyFont="1" applyFill="1" applyBorder="1" applyAlignment="1" applyProtection="1">
      <alignment vertical="center" wrapText="1"/>
    </xf>
    <xf numFmtId="4" fontId="15" fillId="0" borderId="21" xfId="13" applyNumberFormat="1" applyFont="1" applyFill="1" applyBorder="1" applyAlignment="1" applyProtection="1">
      <alignment vertical="center" wrapText="1"/>
    </xf>
    <xf numFmtId="0" fontId="15" fillId="0" borderId="21" xfId="13" applyNumberFormat="1" applyFont="1" applyFill="1" applyBorder="1" applyAlignment="1" applyProtection="1">
      <alignment horizontal="center" vertical="center" wrapText="1"/>
    </xf>
    <xf numFmtId="4" fontId="15" fillId="0" borderId="20" xfId="13" applyNumberFormat="1" applyFont="1" applyFill="1" applyBorder="1" applyAlignment="1" applyProtection="1">
      <alignment horizontal="right" vertical="center" wrapText="1"/>
    </xf>
    <xf numFmtId="176" fontId="39" fillId="0" borderId="20" xfId="13" applyNumberFormat="1" applyFont="1" applyFill="1" applyBorder="1" applyAlignment="1" applyProtection="1">
      <alignment vertical="center" wrapText="1"/>
    </xf>
    <xf numFmtId="4" fontId="15" fillId="0" borderId="8" xfId="13" applyNumberFormat="1" applyFont="1" applyFill="1" applyBorder="1" applyAlignment="1" applyProtection="1">
      <alignment horizontal="left" vertical="center" wrapText="1"/>
    </xf>
    <xf numFmtId="178" fontId="15" fillId="0" borderId="8" xfId="16" applyNumberFormat="1" applyFont="1" applyFill="1" applyBorder="1" applyAlignment="1" applyProtection="1">
      <alignment vertical="center"/>
    </xf>
    <xf numFmtId="4" fontId="15" fillId="0" borderId="19" xfId="16" applyNumberFormat="1" applyFont="1" applyFill="1" applyBorder="1" applyAlignment="1" applyProtection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4" fontId="15" fillId="0" borderId="20" xfId="16" applyNumberFormat="1" applyFont="1" applyFill="1" applyBorder="1" applyAlignment="1" applyProtection="1">
      <alignment vertical="center" wrapText="1"/>
    </xf>
    <xf numFmtId="4" fontId="39" fillId="0" borderId="8" xfId="16" applyNumberFormat="1" applyFont="1" applyFill="1" applyBorder="1" applyAlignment="1" applyProtection="1">
      <alignment vertical="center"/>
    </xf>
    <xf numFmtId="49" fontId="38" fillId="10" borderId="8" xfId="0" applyNumberFormat="1" applyFont="1" applyFill="1" applyBorder="1" applyAlignment="1">
      <alignment horizontal="center" vertical="center"/>
    </xf>
    <xf numFmtId="4" fontId="15" fillId="10" borderId="8" xfId="13" applyNumberFormat="1" applyFont="1" applyFill="1" applyBorder="1" applyAlignment="1" applyProtection="1">
      <alignment horizontal="right" vertical="center" wrapText="1"/>
    </xf>
    <xf numFmtId="177" fontId="15" fillId="10" borderId="8" xfId="0" applyNumberFormat="1" applyFont="1" applyFill="1" applyBorder="1" applyAlignment="1">
      <alignment horizontal="center" vertical="center"/>
    </xf>
    <xf numFmtId="4" fontId="15" fillId="10" borderId="8" xfId="16" applyNumberFormat="1" applyFont="1" applyFill="1" applyBorder="1" applyAlignment="1" applyProtection="1">
      <alignment vertical="center"/>
    </xf>
    <xf numFmtId="0" fontId="15" fillId="0" borderId="0" xfId="0" applyFont="1"/>
    <xf numFmtId="4" fontId="15" fillId="0" borderId="8" xfId="13" applyNumberFormat="1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76" fontId="15" fillId="0" borderId="8" xfId="13" applyNumberFormat="1" applyFont="1" applyFill="1" applyBorder="1" applyAlignment="1" applyProtection="1">
      <alignment horizontal="center" vertical="center" wrapText="1"/>
    </xf>
    <xf numFmtId="176" fontId="15" fillId="0" borderId="20" xfId="16" applyNumberFormat="1" applyFont="1" applyFill="1" applyBorder="1" applyAlignment="1" applyProtection="1">
      <alignment vertical="center" wrapText="1"/>
    </xf>
    <xf numFmtId="0" fontId="15" fillId="0" borderId="8" xfId="13" applyNumberFormat="1" applyFont="1" applyFill="1" applyBorder="1" applyAlignment="1" applyProtection="1">
      <alignment horizontal="right" vertical="center" wrapText="1"/>
    </xf>
    <xf numFmtId="49" fontId="15" fillId="0" borderId="20" xfId="0" applyNumberFormat="1" applyFont="1" applyFill="1" applyBorder="1" applyAlignment="1">
      <alignment vertical="center"/>
    </xf>
    <xf numFmtId="176" fontId="15" fillId="0" borderId="8" xfId="13" applyNumberFormat="1" applyFont="1" applyFill="1" applyBorder="1" applyAlignment="1" applyProtection="1">
      <alignment horizontal="right" vertical="center" wrapText="1"/>
    </xf>
    <xf numFmtId="0" fontId="38" fillId="0" borderId="8" xfId="13" applyNumberFormat="1" applyFont="1" applyFill="1" applyBorder="1" applyAlignment="1" applyProtection="1">
      <alignment horizontal="justify" vertical="center" wrapText="1"/>
    </xf>
    <xf numFmtId="164" fontId="15" fillId="0" borderId="8" xfId="47" applyFont="1" applyFill="1" applyBorder="1" applyAlignment="1" applyProtection="1">
      <alignment horizontal="right" vertical="center"/>
    </xf>
    <xf numFmtId="176" fontId="15" fillId="0" borderId="20" xfId="0" applyNumberFormat="1" applyFont="1" applyFill="1" applyBorder="1" applyAlignment="1">
      <alignment horizontal="right" vertical="center"/>
    </xf>
    <xf numFmtId="4" fontId="15" fillId="6" borderId="8" xfId="13" applyNumberFormat="1" applyFont="1" applyFill="1" applyBorder="1" applyAlignment="1" applyProtection="1">
      <alignment horizontal="right" vertical="center" wrapText="1"/>
    </xf>
    <xf numFmtId="176" fontId="15" fillId="0" borderId="8" xfId="0" applyNumberFormat="1" applyFont="1" applyFill="1" applyBorder="1" applyAlignment="1">
      <alignment horizontal="right" vertical="center"/>
    </xf>
    <xf numFmtId="176" fontId="15" fillId="0" borderId="20" xfId="13" applyNumberFormat="1" applyFont="1" applyFill="1" applyBorder="1" applyAlignment="1" applyProtection="1">
      <alignment horizontal="center" vertical="center" wrapText="1"/>
    </xf>
    <xf numFmtId="4" fontId="41" fillId="0" borderId="20" xfId="16" applyNumberFormat="1" applyFont="1" applyFill="1" applyBorder="1" applyAlignment="1" applyProtection="1">
      <alignment vertical="center"/>
    </xf>
    <xf numFmtId="176" fontId="22" fillId="0" borderId="19" xfId="0" applyNumberFormat="1" applyFont="1" applyFill="1" applyBorder="1" applyAlignment="1">
      <alignment horizontal="center" vertical="center"/>
    </xf>
    <xf numFmtId="4" fontId="22" fillId="0" borderId="19" xfId="16" applyNumberFormat="1" applyFont="1" applyFill="1" applyBorder="1" applyAlignment="1" applyProtection="1">
      <alignment vertical="center"/>
    </xf>
    <xf numFmtId="0" fontId="22" fillId="10" borderId="8" xfId="13" applyNumberFormat="1" applyFont="1" applyFill="1" applyBorder="1" applyAlignment="1" applyProtection="1">
      <alignment horizontal="justify" vertical="center" wrapText="1"/>
    </xf>
    <xf numFmtId="0" fontId="22" fillId="0" borderId="8" xfId="13" applyNumberFormat="1" applyFont="1" applyFill="1" applyBorder="1" applyAlignment="1" applyProtection="1">
      <alignment horizontal="left" vertical="center" wrapText="1"/>
    </xf>
    <xf numFmtId="0" fontId="42" fillId="0" borderId="8" xfId="13" applyNumberFormat="1" applyFont="1" applyFill="1" applyBorder="1" applyAlignment="1" applyProtection="1">
      <alignment horizontal="center" vertical="center" wrapText="1"/>
    </xf>
    <xf numFmtId="0" fontId="22" fillId="0" borderId="8" xfId="13" applyNumberFormat="1" applyFont="1" applyFill="1" applyBorder="1" applyAlignment="1" applyProtection="1">
      <alignment horizontal="justify" vertical="center" wrapText="1"/>
    </xf>
    <xf numFmtId="0" fontId="15" fillId="0" borderId="20" xfId="13" applyNumberFormat="1" applyFont="1" applyFill="1" applyBorder="1" applyAlignment="1" applyProtection="1">
      <alignment horizontal="justify" vertical="center" wrapText="1"/>
    </xf>
    <xf numFmtId="4" fontId="22" fillId="0" borderId="20" xfId="13" applyNumberFormat="1" applyFont="1" applyFill="1" applyBorder="1" applyAlignment="1" applyProtection="1">
      <alignment vertical="center" wrapText="1"/>
    </xf>
    <xf numFmtId="177" fontId="22" fillId="10" borderId="3" xfId="0" applyNumberFormat="1" applyFont="1" applyFill="1" applyBorder="1" applyAlignment="1">
      <alignment horizontal="center" vertical="center"/>
    </xf>
    <xf numFmtId="4" fontId="22" fillId="10" borderId="3" xfId="16" applyNumberFormat="1" applyFont="1" applyFill="1" applyBorder="1" applyAlignment="1" applyProtection="1">
      <alignment vertical="center"/>
    </xf>
    <xf numFmtId="0" fontId="15" fillId="0" borderId="8" xfId="0" applyNumberFormat="1" applyFont="1" applyFill="1" applyBorder="1" applyAlignment="1">
      <alignment horizontal="center" vertical="center"/>
    </xf>
    <xf numFmtId="177" fontId="22" fillId="0" borderId="8" xfId="0" applyNumberFormat="1" applyFont="1" applyFill="1" applyBorder="1" applyAlignment="1">
      <alignment horizontal="center" vertical="center"/>
    </xf>
    <xf numFmtId="177" fontId="22" fillId="0" borderId="21" xfId="0" applyNumberFormat="1" applyFont="1" applyFill="1" applyBorder="1" applyAlignment="1">
      <alignment horizontal="center" vertical="center"/>
    </xf>
    <xf numFmtId="0" fontId="0" fillId="0" borderId="0" xfId="0" applyFont="1"/>
    <xf numFmtId="4" fontId="22" fillId="0" borderId="8" xfId="13" applyNumberFormat="1" applyFont="1" applyFill="1" applyBorder="1" applyAlignment="1" applyProtection="1">
      <alignment horizontal="left" vertical="center" wrapText="1"/>
    </xf>
    <xf numFmtId="49" fontId="38" fillId="0" borderId="20" xfId="0" applyNumberFormat="1" applyFont="1" applyFill="1" applyBorder="1" applyAlignment="1">
      <alignment horizontal="center" vertical="center"/>
    </xf>
    <xf numFmtId="171" fontId="15" fillId="0" borderId="20" xfId="57" applyFont="1" applyFill="1" applyBorder="1" applyAlignment="1" applyProtection="1">
      <alignment vertical="center" wrapText="1"/>
    </xf>
    <xf numFmtId="171" fontId="15" fillId="0" borderId="20" xfId="57" applyFont="1" applyFill="1" applyBorder="1" applyAlignment="1" applyProtection="1">
      <alignment horizontal="right" vertical="center" wrapText="1"/>
    </xf>
    <xf numFmtId="179" fontId="15" fillId="0" borderId="22" xfId="57" applyNumberFormat="1" applyFont="1" applyFill="1" applyBorder="1" applyAlignment="1" applyProtection="1">
      <alignment horizontal="center" vertical="center"/>
    </xf>
    <xf numFmtId="176" fontId="22" fillId="10" borderId="3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0" fillId="0" borderId="0" xfId="0" applyFill="1"/>
    <xf numFmtId="171" fontId="15" fillId="0" borderId="8" xfId="57" applyFont="1" applyFill="1" applyBorder="1" applyAlignment="1" applyProtection="1">
      <alignment vertical="center" wrapText="1"/>
    </xf>
    <xf numFmtId="176" fontId="22" fillId="8" borderId="3" xfId="0" applyNumberFormat="1" applyFont="1" applyFill="1" applyBorder="1" applyAlignment="1">
      <alignment horizontal="center" vertical="center"/>
    </xf>
    <xf numFmtId="4" fontId="22" fillId="8" borderId="3" xfId="16" applyNumberFormat="1" applyFont="1" applyFill="1" applyBorder="1" applyAlignment="1" applyProtection="1">
      <alignment vertical="center"/>
    </xf>
    <xf numFmtId="4" fontId="15" fillId="0" borderId="21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21" xfId="13" applyNumberFormat="1" applyFont="1" applyFill="1" applyBorder="1" applyAlignment="1" applyProtection="1">
      <alignment vertical="center" wrapText="1"/>
    </xf>
    <xf numFmtId="171" fontId="15" fillId="0" borderId="21" xfId="57" applyFont="1" applyFill="1" applyBorder="1" applyAlignment="1" applyProtection="1">
      <alignment vertical="center" wrapText="1"/>
    </xf>
    <xf numFmtId="0" fontId="15" fillId="0" borderId="20" xfId="0" applyFont="1" applyFill="1" applyBorder="1" applyAlignment="1">
      <alignment vertical="center"/>
    </xf>
    <xf numFmtId="0" fontId="39" fillId="0" borderId="20" xfId="0" applyFont="1" applyFill="1" applyBorder="1" applyAlignment="1">
      <alignment vertical="center"/>
    </xf>
    <xf numFmtId="49" fontId="15" fillId="0" borderId="19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21" xfId="13" applyNumberFormat="1" applyFont="1" applyFill="1" applyBorder="1" applyAlignment="1" applyProtection="1">
      <alignment horizontal="justify" vertical="center" wrapText="1"/>
    </xf>
    <xf numFmtId="49" fontId="39" fillId="0" borderId="8" xfId="0" applyNumberFormat="1" applyFont="1" applyFill="1" applyBorder="1" applyAlignment="1">
      <alignment horizontal="center" vertical="center"/>
    </xf>
    <xf numFmtId="0" fontId="15" fillId="0" borderId="21" xfId="13" applyNumberFormat="1" applyFont="1" applyFill="1" applyBorder="1" applyAlignment="1" applyProtection="1">
      <alignment horizontal="left" vertical="center" wrapText="1"/>
    </xf>
    <xf numFmtId="0" fontId="38" fillId="0" borderId="20" xfId="0" applyFont="1" applyFill="1" applyBorder="1" applyAlignment="1">
      <alignment horizontal="center" vertical="center"/>
    </xf>
    <xf numFmtId="0" fontId="39" fillId="0" borderId="19" xfId="0" applyFont="1" applyFill="1" applyBorder="1"/>
    <xf numFmtId="4" fontId="15" fillId="0" borderId="8" xfId="16" applyNumberFormat="1" applyFont="1" applyFill="1" applyBorder="1" applyAlignment="1" applyProtection="1">
      <alignment horizontal="center" vertical="center"/>
    </xf>
    <xf numFmtId="0" fontId="26" fillId="0" borderId="0" xfId="0" applyFont="1" applyFill="1"/>
    <xf numFmtId="49" fontId="22" fillId="0" borderId="8" xfId="0" applyNumberFormat="1" applyFont="1" applyFill="1" applyBorder="1" applyAlignment="1">
      <alignment horizontal="center" vertical="center"/>
    </xf>
    <xf numFmtId="171" fontId="15" fillId="6" borderId="12" xfId="57" applyFont="1" applyFill="1" applyBorder="1" applyAlignment="1" applyProtection="1">
      <alignment horizontal="center" vertical="center"/>
    </xf>
    <xf numFmtId="171" fontId="15" fillId="0" borderId="8" xfId="57" applyFont="1" applyFill="1" applyBorder="1" applyAlignment="1" applyProtection="1">
      <alignment vertical="center"/>
    </xf>
    <xf numFmtId="171" fontId="15" fillId="6" borderId="23" xfId="57" applyFont="1" applyFill="1" applyBorder="1" applyAlignment="1" applyProtection="1">
      <alignment horizontal="center" vertical="center"/>
    </xf>
    <xf numFmtId="4" fontId="22" fillId="10" borderId="3" xfId="13" applyNumberFormat="1" applyFont="1" applyFill="1" applyBorder="1" applyAlignment="1" applyProtection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4" fontId="15" fillId="0" borderId="23" xfId="16" applyNumberFormat="1" applyFont="1" applyFill="1" applyBorder="1" applyAlignment="1" applyProtection="1">
      <alignment vertical="center"/>
    </xf>
    <xf numFmtId="171" fontId="15" fillId="0" borderId="23" xfId="57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>
      <alignment horizontal="left" vertical="center"/>
    </xf>
    <xf numFmtId="171" fontId="15" fillId="6" borderId="8" xfId="57" applyFont="1" applyFill="1" applyBorder="1" applyAlignment="1" applyProtection="1">
      <alignment horizontal="center" vertical="center"/>
    </xf>
    <xf numFmtId="171" fontId="15" fillId="6" borderId="22" xfId="57" applyFont="1" applyFill="1" applyBorder="1" applyAlignment="1" applyProtection="1">
      <alignment horizontal="center" vertical="center"/>
    </xf>
    <xf numFmtId="171" fontId="15" fillId="0" borderId="12" xfId="57" applyFont="1" applyFill="1" applyBorder="1" applyAlignment="1" applyProtection="1">
      <alignment horizontal="center" vertical="center"/>
    </xf>
    <xf numFmtId="171" fontId="15" fillId="0" borderId="22" xfId="57" applyFont="1" applyFill="1" applyBorder="1" applyAlignment="1" applyProtection="1">
      <alignment horizontal="center" vertical="center"/>
    </xf>
    <xf numFmtId="4" fontId="15" fillId="6" borderId="12" xfId="37" applyNumberFormat="1" applyFont="1" applyFill="1" applyBorder="1" applyAlignment="1">
      <alignment horizontal="center" vertical="center"/>
    </xf>
    <xf numFmtId="4" fontId="15" fillId="6" borderId="22" xfId="37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4" fontId="15" fillId="0" borderId="23" xfId="13" applyNumberFormat="1" applyFont="1" applyFill="1" applyBorder="1" applyAlignment="1" applyProtection="1">
      <alignment vertical="center" wrapText="1"/>
    </xf>
    <xf numFmtId="0" fontId="15" fillId="0" borderId="21" xfId="0" applyFont="1" applyBorder="1" applyAlignment="1">
      <alignment horizontal="left" vertical="center"/>
    </xf>
    <xf numFmtId="0" fontId="22" fillId="8" borderId="8" xfId="13" applyNumberFormat="1" applyFont="1" applyFill="1" applyBorder="1" applyAlignment="1" applyProtection="1">
      <alignment horizontal="center" vertical="center" wrapText="1"/>
    </xf>
    <xf numFmtId="0" fontId="22" fillId="8" borderId="8" xfId="13" applyNumberFormat="1" applyFont="1" applyFill="1" applyBorder="1" applyAlignment="1" applyProtection="1">
      <alignment vertical="center" wrapText="1"/>
    </xf>
    <xf numFmtId="49" fontId="38" fillId="8" borderId="8" xfId="0" applyNumberFormat="1" applyFont="1" applyFill="1" applyBorder="1" applyAlignment="1">
      <alignment horizontal="center" vertical="center"/>
    </xf>
    <xf numFmtId="4" fontId="15" fillId="8" borderId="8" xfId="16" applyNumberFormat="1" applyFont="1" applyFill="1" applyBorder="1" applyAlignment="1" applyProtection="1">
      <alignment vertical="center"/>
    </xf>
    <xf numFmtId="0" fontId="15" fillId="0" borderId="20" xfId="0" applyFont="1" applyFill="1" applyBorder="1" applyAlignment="1">
      <alignment horizontal="center" vertical="center"/>
    </xf>
    <xf numFmtId="171" fontId="15" fillId="0" borderId="19" xfId="57" applyFont="1" applyFill="1" applyBorder="1" applyAlignment="1" applyProtection="1">
      <alignment vertical="center" wrapText="1"/>
    </xf>
    <xf numFmtId="49" fontId="15" fillId="0" borderId="20" xfId="0" applyNumberFormat="1" applyFont="1" applyBorder="1" applyAlignment="1">
      <alignment horizontal="center" vertical="center"/>
    </xf>
    <xf numFmtId="0" fontId="15" fillId="0" borderId="20" xfId="13" applyNumberFormat="1" applyFont="1" applyFill="1" applyBorder="1" applyAlignment="1" applyProtection="1">
      <alignment vertical="center" wrapText="1"/>
    </xf>
    <xf numFmtId="0" fontId="15" fillId="0" borderId="20" xfId="0" applyFont="1" applyBorder="1" applyAlignment="1">
      <alignment horizontal="center" vertical="center"/>
    </xf>
    <xf numFmtId="49" fontId="26" fillId="8" borderId="4" xfId="0" applyNumberFormat="1" applyFont="1" applyFill="1" applyBorder="1" applyAlignment="1">
      <alignment horizontal="center" vertical="center"/>
    </xf>
    <xf numFmtId="49" fontId="26" fillId="8" borderId="18" xfId="0" applyNumberFormat="1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vertical="center"/>
    </xf>
    <xf numFmtId="0" fontId="26" fillId="8" borderId="17" xfId="0" applyFont="1" applyFill="1" applyBorder="1" applyAlignment="1">
      <alignment horizontal="center" vertical="center"/>
    </xf>
    <xf numFmtId="4" fontId="26" fillId="8" borderId="17" xfId="0" applyNumberFormat="1" applyFont="1" applyFill="1" applyBorder="1" applyAlignment="1">
      <alignment vertical="center"/>
    </xf>
    <xf numFmtId="176" fontId="26" fillId="8" borderId="17" xfId="0" applyNumberFormat="1" applyFont="1" applyFill="1" applyBorder="1" applyAlignment="1">
      <alignment vertical="center"/>
    </xf>
    <xf numFmtId="4" fontId="26" fillId="8" borderId="5" xfId="16" applyNumberFormat="1" applyFont="1" applyFill="1" applyBorder="1" applyAlignment="1" applyProtection="1">
      <alignment vertical="center"/>
    </xf>
    <xf numFmtId="0" fontId="26" fillId="0" borderId="0" xfId="0" applyFont="1" applyBorder="1"/>
    <xf numFmtId="0" fontId="26" fillId="8" borderId="4" xfId="0" applyFont="1" applyFill="1" applyBorder="1" applyAlignment="1">
      <alignment vertical="center"/>
    </xf>
    <xf numFmtId="0" fontId="26" fillId="8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6" fillId="0" borderId="0" xfId="0" applyFont="1" applyBorder="1" applyAlignment="1">
      <alignment vertical="center"/>
    </xf>
    <xf numFmtId="175" fontId="15" fillId="0" borderId="0" xfId="0" applyNumberFormat="1" applyFont="1" applyFill="1" applyBorder="1" applyAlignment="1">
      <alignment horizontal="left" vertical="center"/>
    </xf>
    <xf numFmtId="176" fontId="27" fillId="0" borderId="0" xfId="0" applyNumberFormat="1" applyFont="1" applyFill="1" applyAlignment="1">
      <alignment horizontal="center" vertical="center"/>
    </xf>
    <xf numFmtId="0" fontId="27" fillId="0" borderId="0" xfId="14" applyNumberFormat="1" applyFont="1" applyFill="1" applyBorder="1" applyAlignment="1" applyProtection="1">
      <alignment horizontal="center" vertical="center"/>
    </xf>
    <xf numFmtId="9" fontId="27" fillId="0" borderId="0" xfId="41" applyFont="1" applyFill="1" applyBorder="1" applyAlignment="1" applyProtection="1">
      <alignment horizontal="center" vertical="center"/>
    </xf>
    <xf numFmtId="0" fontId="28" fillId="10" borderId="3" xfId="0" applyNumberFormat="1" applyFont="1" applyFill="1" applyBorder="1" applyAlignment="1">
      <alignment horizontal="justify" vertical="center" wrapText="1"/>
    </xf>
    <xf numFmtId="167" fontId="30" fillId="0" borderId="8" xfId="16" applyFont="1" applyFill="1" applyBorder="1" applyAlignment="1" applyProtection="1">
      <alignment vertical="center"/>
    </xf>
    <xf numFmtId="0" fontId="40" fillId="0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167" fontId="30" fillId="0" borderId="14" xfId="16" applyFont="1" applyFill="1" applyBorder="1" applyAlignment="1" applyProtection="1">
      <alignment vertical="center"/>
    </xf>
    <xf numFmtId="167" fontId="30" fillId="0" borderId="15" xfId="16" applyFont="1" applyFill="1" applyBorder="1" applyAlignment="1" applyProtection="1">
      <alignment vertical="center"/>
    </xf>
    <xf numFmtId="49" fontId="28" fillId="10" borderId="3" xfId="0" applyNumberFormat="1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vertical="center"/>
    </xf>
    <xf numFmtId="0" fontId="30" fillId="10" borderId="3" xfId="0" applyFont="1" applyFill="1" applyBorder="1" applyAlignment="1">
      <alignment horizontal="center" vertical="center" wrapText="1"/>
    </xf>
    <xf numFmtId="176" fontId="30" fillId="10" borderId="3" xfId="0" applyNumberFormat="1" applyFont="1" applyFill="1" applyBorder="1" applyAlignment="1">
      <alignment horizontal="center" vertical="center"/>
    </xf>
    <xf numFmtId="167" fontId="28" fillId="10" borderId="3" xfId="16" applyFont="1" applyFill="1" applyBorder="1" applyAlignment="1" applyProtection="1">
      <alignment horizontal="center" vertical="center"/>
    </xf>
    <xf numFmtId="167" fontId="30" fillId="10" borderId="3" xfId="16" applyFont="1" applyFill="1" applyBorder="1" applyAlignment="1" applyProtection="1">
      <alignment vertical="center"/>
    </xf>
    <xf numFmtId="49" fontId="30" fillId="0" borderId="9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justify" vertical="center" wrapText="1"/>
    </xf>
    <xf numFmtId="176" fontId="30" fillId="0" borderId="9" xfId="0" applyNumberFormat="1" applyFont="1" applyFill="1" applyBorder="1" applyAlignment="1">
      <alignment vertical="center"/>
    </xf>
    <xf numFmtId="167" fontId="30" fillId="0" borderId="9" xfId="16" applyFont="1" applyFill="1" applyBorder="1" applyAlignment="1" applyProtection="1">
      <alignment vertical="center"/>
    </xf>
    <xf numFmtId="0" fontId="26" fillId="0" borderId="0" xfId="0" applyFont="1" applyFill="1" applyAlignment="1">
      <alignment vertical="center"/>
    </xf>
    <xf numFmtId="0" fontId="30" fillId="0" borderId="8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/>
    </xf>
    <xf numFmtId="0" fontId="28" fillId="0" borderId="8" xfId="0" applyNumberFormat="1" applyFont="1" applyFill="1" applyBorder="1" applyAlignment="1">
      <alignment horizontal="justify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justify" vertical="center" wrapText="1"/>
    </xf>
    <xf numFmtId="176" fontId="28" fillId="0" borderId="9" xfId="0" applyNumberFormat="1" applyFont="1" applyFill="1" applyBorder="1" applyAlignment="1">
      <alignment vertical="center"/>
    </xf>
    <xf numFmtId="167" fontId="28" fillId="0" borderId="9" xfId="16" applyFont="1" applyFill="1" applyBorder="1" applyAlignment="1" applyProtection="1">
      <alignment vertical="center"/>
    </xf>
    <xf numFmtId="49" fontId="30" fillId="0" borderId="21" xfId="0" applyNumberFormat="1" applyFont="1" applyFill="1" applyBorder="1" applyAlignment="1">
      <alignment horizontal="center" vertical="center"/>
    </xf>
    <xf numFmtId="0" fontId="28" fillId="0" borderId="8" xfId="0" applyNumberFormat="1" applyFont="1" applyFill="1" applyBorder="1" applyAlignment="1">
      <alignment horizontal="center" vertical="center"/>
    </xf>
    <xf numFmtId="176" fontId="28" fillId="0" borderId="8" xfId="0" applyNumberFormat="1" applyFont="1" applyFill="1" applyBorder="1" applyAlignment="1">
      <alignment vertical="center"/>
    </xf>
    <xf numFmtId="167" fontId="28" fillId="0" borderId="8" xfId="16" applyFont="1" applyFill="1" applyBorder="1" applyAlignment="1" applyProtection="1">
      <alignment vertical="center"/>
    </xf>
    <xf numFmtId="176" fontId="0" fillId="0" borderId="0" xfId="0" applyNumberFormat="1" applyFill="1" applyAlignment="1">
      <alignment vertical="center"/>
    </xf>
    <xf numFmtId="4" fontId="36" fillId="0" borderId="8" xfId="0" applyNumberFormat="1" applyFont="1" applyFill="1" applyBorder="1" applyAlignment="1">
      <alignment vertical="center"/>
    </xf>
    <xf numFmtId="167" fontId="0" fillId="0" borderId="0" xfId="0" applyNumberForma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167" fontId="36" fillId="0" borderId="0" xfId="16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174" fontId="3" fillId="0" borderId="0" xfId="0" applyNumberFormat="1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18" fillId="6" borderId="3" xfId="0" applyNumberFormat="1" applyFont="1" applyFill="1" applyBorder="1" applyAlignment="1">
      <alignment horizontal="right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45" fillId="6" borderId="3" xfId="41" applyNumberFormat="1" applyFont="1" applyFill="1" applyBorder="1" applyAlignment="1" applyProtection="1">
      <alignment horizontal="center" vertical="center" wrapText="1"/>
    </xf>
    <xf numFmtId="4" fontId="19" fillId="12" borderId="3" xfId="0" applyNumberFormat="1" applyFont="1" applyFill="1" applyBorder="1" applyAlignment="1">
      <alignment horizontal="right" vertical="center" wrapText="1"/>
    </xf>
    <xf numFmtId="4" fontId="19" fillId="0" borderId="3" xfId="0" applyNumberFormat="1" applyFont="1" applyFill="1" applyBorder="1" applyAlignment="1">
      <alignment horizontal="right" vertical="center" wrapText="1"/>
    </xf>
    <xf numFmtId="10" fontId="18" fillId="6" borderId="3" xfId="41" applyNumberFormat="1" applyFont="1" applyFill="1" applyBorder="1" applyAlignment="1" applyProtection="1">
      <alignment horizontal="center" vertical="center" wrapText="1"/>
    </xf>
    <xf numFmtId="0" fontId="46" fillId="0" borderId="0" xfId="0" applyFont="1"/>
    <xf numFmtId="0" fontId="47" fillId="6" borderId="0" xfId="0" applyFont="1" applyFill="1" applyBorder="1" applyAlignment="1"/>
    <xf numFmtId="0" fontId="46" fillId="6" borderId="0" xfId="0" applyFont="1" applyFill="1"/>
    <xf numFmtId="0" fontId="46" fillId="6" borderId="0" xfId="0" applyFont="1" applyFill="1" applyBorder="1" applyAlignment="1">
      <alignment vertical="center" wrapText="1"/>
    </xf>
    <xf numFmtId="0" fontId="48" fillId="6" borderId="0" xfId="0" applyFont="1" applyFill="1" applyBorder="1" applyAlignment="1"/>
    <xf numFmtId="0" fontId="48" fillId="6" borderId="0" xfId="0" applyFont="1" applyFill="1" applyBorder="1" applyAlignment="1">
      <alignment horizontal="center"/>
    </xf>
    <xf numFmtId="0" fontId="46" fillId="6" borderId="0" xfId="0" applyFont="1" applyFill="1" applyBorder="1" applyAlignment="1"/>
    <xf numFmtId="0" fontId="46" fillId="6" borderId="24" xfId="0" applyFont="1" applyFill="1" applyBorder="1" applyAlignment="1">
      <alignment horizontal="center"/>
    </xf>
    <xf numFmtId="0" fontId="46" fillId="6" borderId="24" xfId="0" applyFont="1" applyFill="1" applyBorder="1" applyAlignment="1">
      <alignment vertical="center"/>
    </xf>
    <xf numFmtId="0" fontId="46" fillId="6" borderId="0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/>
    </xf>
    <xf numFmtId="0" fontId="46" fillId="6" borderId="0" xfId="0" applyFont="1" applyFill="1" applyBorder="1" applyAlignment="1">
      <alignment horizontal="center"/>
    </xf>
    <xf numFmtId="0" fontId="46" fillId="6" borderId="0" xfId="0" applyFont="1" applyFill="1" applyAlignment="1">
      <alignment horizontal="left" vertical="center"/>
    </xf>
    <xf numFmtId="0" fontId="46" fillId="6" borderId="0" xfId="0" applyFont="1" applyFill="1" applyAlignment="1">
      <alignment vertical="center"/>
    </xf>
    <xf numFmtId="0" fontId="46" fillId="0" borderId="0" xfId="0" applyFont="1" applyAlignment="1">
      <alignment horizontal="right" vertical="center"/>
    </xf>
    <xf numFmtId="0" fontId="46" fillId="6" borderId="0" xfId="0" applyFont="1" applyFill="1" applyBorder="1"/>
    <xf numFmtId="0" fontId="46" fillId="6" borderId="0" xfId="0" applyFont="1" applyFill="1" applyAlignment="1">
      <alignment horizontal="right"/>
    </xf>
    <xf numFmtId="180" fontId="46" fillId="6" borderId="0" xfId="0" applyNumberFormat="1" applyFont="1" applyFill="1" applyBorder="1" applyAlignment="1">
      <alignment horizontal="left"/>
    </xf>
    <xf numFmtId="10" fontId="46" fillId="6" borderId="0" xfId="0" applyNumberFormat="1" applyFont="1" applyFill="1" applyBorder="1" applyAlignment="1">
      <alignment horizontal="right"/>
    </xf>
    <xf numFmtId="10" fontId="46" fillId="6" borderId="0" xfId="0" applyNumberFormat="1" applyFont="1" applyFill="1" applyBorder="1" applyAlignment="1">
      <alignment horizontal="left"/>
    </xf>
    <xf numFmtId="10" fontId="46" fillId="6" borderId="0" xfId="0" applyNumberFormat="1" applyFont="1" applyFill="1"/>
    <xf numFmtId="171" fontId="46" fillId="6" borderId="0" xfId="57" applyFont="1" applyFill="1" applyBorder="1" applyAlignment="1" applyProtection="1"/>
    <xf numFmtId="180" fontId="46" fillId="6" borderId="0" xfId="0" applyNumberFormat="1" applyFont="1" applyFill="1" applyBorder="1" applyAlignment="1">
      <alignment horizontal="right"/>
    </xf>
    <xf numFmtId="0" fontId="46" fillId="6" borderId="0" xfId="0" applyFont="1" applyFill="1" applyAlignment="1">
      <alignment horizontal="center"/>
    </xf>
    <xf numFmtId="171" fontId="47" fillId="6" borderId="25" xfId="57" applyFont="1" applyFill="1" applyBorder="1" applyAlignment="1" applyProtection="1"/>
    <xf numFmtId="180" fontId="47" fillId="6" borderId="26" xfId="0" applyNumberFormat="1" applyFont="1" applyFill="1" applyBorder="1" applyAlignment="1"/>
    <xf numFmtId="0" fontId="46" fillId="6" borderId="26" xfId="0" applyFont="1" applyFill="1" applyBorder="1"/>
    <xf numFmtId="0" fontId="46" fillId="6" borderId="27" xfId="0" applyFont="1" applyFill="1" applyBorder="1"/>
    <xf numFmtId="0" fontId="46" fillId="6" borderId="0" xfId="0" applyFont="1" applyFill="1" applyAlignment="1">
      <alignment horizontal="left"/>
    </xf>
    <xf numFmtId="0" fontId="46" fillId="6" borderId="0" xfId="0" applyFont="1" applyFill="1" applyAlignment="1"/>
    <xf numFmtId="0" fontId="51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52" fillId="0" borderId="0" xfId="0" applyFont="1" applyAlignment="1"/>
    <xf numFmtId="0" fontId="37" fillId="8" borderId="4" xfId="0" applyFont="1" applyFill="1" applyBorder="1"/>
    <xf numFmtId="0" fontId="37" fillId="8" borderId="5" xfId="0" applyFont="1" applyFill="1" applyBorder="1"/>
    <xf numFmtId="0" fontId="37" fillId="8" borderId="5" xfId="0" applyFont="1" applyFill="1" applyBorder="1" applyAlignment="1">
      <alignment horizontal="center"/>
    </xf>
    <xf numFmtId="0" fontId="37" fillId="0" borderId="3" xfId="0" applyFont="1" applyBorder="1"/>
    <xf numFmtId="0" fontId="37" fillId="0" borderId="28" xfId="0" applyFont="1" applyBorder="1"/>
    <xf numFmtId="0" fontId="37" fillId="0" borderId="24" xfId="0" applyFont="1" applyBorder="1"/>
    <xf numFmtId="0" fontId="37" fillId="0" borderId="5" xfId="0" applyFont="1" applyBorder="1"/>
    <xf numFmtId="0" fontId="37" fillId="0" borderId="4" xfId="0" applyFont="1" applyBorder="1"/>
    <xf numFmtId="0" fontId="37" fillId="0" borderId="17" xfId="0" applyFont="1" applyBorder="1"/>
    <xf numFmtId="0" fontId="51" fillId="8" borderId="3" xfId="0" applyFont="1" applyFill="1" applyBorder="1"/>
    <xf numFmtId="0" fontId="51" fillId="8" borderId="4" xfId="0" applyFont="1" applyFill="1" applyBorder="1"/>
    <xf numFmtId="0" fontId="51" fillId="8" borderId="5" xfId="0" applyFont="1" applyFill="1" applyBorder="1"/>
    <xf numFmtId="0" fontId="51" fillId="8" borderId="3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4" fontId="37" fillId="0" borderId="3" xfId="0" applyNumberFormat="1" applyFont="1" applyBorder="1" applyAlignment="1">
      <alignment horizontal="center"/>
    </xf>
    <xf numFmtId="0" fontId="51" fillId="8" borderId="4" xfId="0" applyFont="1" applyFill="1" applyBorder="1" applyAlignment="1"/>
    <xf numFmtId="4" fontId="51" fillId="8" borderId="3" xfId="0" applyNumberFormat="1" applyFont="1" applyFill="1" applyBorder="1" applyAlignment="1">
      <alignment horizontal="center"/>
    </xf>
    <xf numFmtId="0" fontId="51" fillId="0" borderId="3" xfId="0" applyFont="1" applyBorder="1"/>
    <xf numFmtId="4" fontId="51" fillId="0" borderId="3" xfId="0" applyNumberFormat="1" applyFont="1" applyBorder="1"/>
    <xf numFmtId="0" fontId="53" fillId="0" borderId="3" xfId="0" applyFont="1" applyBorder="1"/>
    <xf numFmtId="0" fontId="25" fillId="0" borderId="0" xfId="0" applyFont="1"/>
    <xf numFmtId="0" fontId="22" fillId="0" borderId="0" xfId="0" applyFont="1" applyFill="1" applyBorder="1" applyAlignment="1">
      <alignment horizontal="right" vertical="center"/>
    </xf>
    <xf numFmtId="0" fontId="51" fillId="0" borderId="0" xfId="0" applyFont="1"/>
    <xf numFmtId="0" fontId="51" fillId="0" borderId="3" xfId="0" applyFont="1" applyBorder="1" applyAlignment="1">
      <alignment horizontal="center"/>
    </xf>
    <xf numFmtId="0" fontId="37" fillId="8" borderId="3" xfId="0" applyFont="1" applyFill="1" applyBorder="1"/>
    <xf numFmtId="10" fontId="37" fillId="0" borderId="3" xfId="41" applyNumberFormat="1" applyFont="1" applyFill="1" applyBorder="1" applyAlignment="1" applyProtection="1">
      <alignment horizontal="center"/>
    </xf>
    <xf numFmtId="0" fontId="37" fillId="0" borderId="3" xfId="0" applyFont="1" applyBorder="1" applyAlignment="1">
      <alignment wrapText="1"/>
    </xf>
    <xf numFmtId="10" fontId="37" fillId="0" borderId="3" xfId="0" applyNumberFormat="1" applyFont="1" applyBorder="1"/>
    <xf numFmtId="0" fontId="37" fillId="0" borderId="3" xfId="0" applyFont="1" applyBorder="1" applyAlignment="1">
      <alignment horizontal="center" vertical="top"/>
    </xf>
    <xf numFmtId="0" fontId="37" fillId="0" borderId="3" xfId="0" applyFont="1" applyBorder="1" applyAlignment="1">
      <alignment horizontal="justify" vertical="top" wrapText="1"/>
    </xf>
    <xf numFmtId="10" fontId="37" fillId="0" borderId="3" xfId="0" applyNumberFormat="1" applyFont="1" applyBorder="1" applyAlignment="1">
      <alignment vertical="center"/>
    </xf>
    <xf numFmtId="0" fontId="37" fillId="8" borderId="4" xfId="0" applyFont="1" applyFill="1" applyBorder="1" applyAlignment="1">
      <alignment horizontal="left"/>
    </xf>
    <xf numFmtId="10" fontId="37" fillId="8" borderId="3" xfId="0" applyNumberFormat="1" applyFont="1" applyFill="1" applyBorder="1" applyAlignment="1">
      <alignment horizontal="center"/>
    </xf>
    <xf numFmtId="10" fontId="37" fillId="8" borderId="3" xfId="0" applyNumberFormat="1" applyFont="1" applyFill="1" applyBorder="1"/>
    <xf numFmtId="10" fontId="51" fillId="0" borderId="3" xfId="0" applyNumberFormat="1" applyFont="1" applyBorder="1"/>
    <xf numFmtId="0" fontId="1" fillId="0" borderId="0" xfId="0" applyFont="1" applyBorder="1" applyAlignment="1"/>
    <xf numFmtId="0" fontId="24" fillId="0" borderId="0" xfId="0" applyFont="1"/>
    <xf numFmtId="0" fontId="24" fillId="0" borderId="3" xfId="0" applyFont="1" applyBorder="1"/>
    <xf numFmtId="0" fontId="24" fillId="0" borderId="3" xfId="0" applyFont="1" applyBorder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24" fillId="8" borderId="3" xfId="0" applyFont="1" applyFill="1" applyBorder="1"/>
    <xf numFmtId="0" fontId="0" fillId="8" borderId="3" xfId="0" applyFill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0" fontId="0" fillId="0" borderId="3" xfId="43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ont="1" applyBorder="1" applyAlignment="1">
      <alignment wrapText="1"/>
    </xf>
    <xf numFmtId="10" fontId="0" fillId="0" borderId="3" xfId="0" applyNumberFormat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10" fontId="0" fillId="0" borderId="3" xfId="0" applyNumberFormat="1" applyBorder="1" applyAlignment="1">
      <alignment vertical="center"/>
    </xf>
    <xf numFmtId="0" fontId="0" fillId="8" borderId="4" xfId="0" applyFont="1" applyFill="1" applyBorder="1" applyAlignment="1">
      <alignment horizontal="left"/>
    </xf>
    <xf numFmtId="0" fontId="0" fillId="8" borderId="5" xfId="0" applyFill="1" applyBorder="1"/>
    <xf numFmtId="10" fontId="0" fillId="8" borderId="3" xfId="0" applyNumberFormat="1" applyFill="1" applyBorder="1" applyAlignment="1">
      <alignment horizontal="center"/>
    </xf>
    <xf numFmtId="10" fontId="0" fillId="8" borderId="3" xfId="0" applyNumberFormat="1" applyFill="1" applyBorder="1"/>
    <xf numFmtId="10" fontId="24" fillId="0" borderId="3" xfId="0" applyNumberFormat="1" applyFont="1" applyBorder="1"/>
    <xf numFmtId="0" fontId="55" fillId="0" borderId="0" xfId="0" applyFont="1" applyFill="1" applyAlignment="1">
      <alignment vertical="center"/>
    </xf>
    <xf numFmtId="0" fontId="17" fillId="0" borderId="0" xfId="0" applyFont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75" fontId="19" fillId="0" borderId="0" xfId="0" applyNumberFormat="1" applyFont="1" applyFill="1" applyBorder="1" applyAlignment="1">
      <alignment vertical="center"/>
    </xf>
    <xf numFmtId="0" fontId="56" fillId="8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justify" vertical="center" wrapText="1"/>
    </xf>
    <xf numFmtId="0" fontId="19" fillId="8" borderId="3" xfId="0" applyFont="1" applyFill="1" applyBorder="1" applyAlignment="1">
      <alignment horizontal="center" vertical="center"/>
    </xf>
    <xf numFmtId="171" fontId="19" fillId="8" borderId="3" xfId="57" applyFont="1" applyFill="1" applyBorder="1" applyAlignment="1" applyProtection="1">
      <alignment horizontal="right" vertical="center"/>
    </xf>
    <xf numFmtId="167" fontId="18" fillId="8" borderId="3" xfId="0" applyNumberFormat="1" applyFont="1" applyFill="1" applyBorder="1" applyAlignment="1">
      <alignment horizontal="right" vertical="center"/>
    </xf>
    <xf numFmtId="171" fontId="19" fillId="8" borderId="3" xfId="57" applyFont="1" applyFill="1" applyBorder="1" applyAlignment="1" applyProtection="1">
      <alignment vertical="center"/>
    </xf>
    <xf numFmtId="0" fontId="20" fillId="0" borderId="3" xfId="0" applyFont="1" applyFill="1" applyBorder="1" applyAlignment="1">
      <alignment vertical="center"/>
    </xf>
    <xf numFmtId="171" fontId="18" fillId="0" borderId="3" xfId="57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181" fontId="19" fillId="0" borderId="3" xfId="57" applyNumberFormat="1" applyFont="1" applyFill="1" applyBorder="1" applyAlignment="1" applyProtection="1">
      <alignment horizontal="right" vertical="center"/>
    </xf>
    <xf numFmtId="167" fontId="19" fillId="0" borderId="3" xfId="57" applyNumberFormat="1" applyFont="1" applyFill="1" applyBorder="1" applyAlignment="1" applyProtection="1">
      <alignment horizontal="center" vertical="center"/>
    </xf>
    <xf numFmtId="4" fontId="18" fillId="0" borderId="3" xfId="57" applyNumberFormat="1" applyFont="1" applyFill="1" applyBorder="1" applyAlignment="1" applyProtection="1">
      <alignment vertical="center"/>
    </xf>
    <xf numFmtId="171" fontId="17" fillId="0" borderId="0" xfId="0" applyNumberFormat="1" applyFont="1" applyBorder="1" applyAlignment="1">
      <alignment vertical="center"/>
    </xf>
    <xf numFmtId="10" fontId="19" fillId="0" borderId="3" xfId="57" applyNumberFormat="1" applyFont="1" applyFill="1" applyBorder="1" applyAlignment="1" applyProtection="1">
      <alignment vertical="center"/>
    </xf>
    <xf numFmtId="0" fontId="18" fillId="0" borderId="3" xfId="0" applyFont="1" applyFill="1" applyBorder="1" applyAlignment="1">
      <alignment vertical="center"/>
    </xf>
    <xf numFmtId="164" fontId="18" fillId="0" borderId="3" xfId="58" applyFont="1" applyFill="1" applyBorder="1" applyAlignment="1" applyProtection="1">
      <alignment horizontal="center" vertical="center"/>
    </xf>
    <xf numFmtId="182" fontId="19" fillId="0" borderId="3" xfId="0" applyNumberFormat="1" applyFont="1" applyFill="1" applyBorder="1" applyAlignment="1">
      <alignment horizontal="center" vertical="center"/>
    </xf>
    <xf numFmtId="164" fontId="18" fillId="0" borderId="3" xfId="58" applyFont="1" applyFill="1" applyBorder="1" applyAlignment="1" applyProtection="1">
      <alignment vertical="center"/>
    </xf>
    <xf numFmtId="0" fontId="57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56" fillId="8" borderId="30" xfId="0" applyFont="1" applyFill="1" applyBorder="1" applyAlignment="1">
      <alignment horizontal="center" vertical="center" wrapText="1"/>
    </xf>
    <xf numFmtId="4" fontId="18" fillId="8" borderId="3" xfId="0" applyNumberFormat="1" applyFont="1" applyFill="1" applyBorder="1" applyAlignment="1">
      <alignment horizontal="right" vertical="center"/>
    </xf>
    <xf numFmtId="0" fontId="55" fillId="0" borderId="3" xfId="0" applyFont="1" applyFill="1" applyBorder="1" applyAlignment="1">
      <alignment vertical="center"/>
    </xf>
    <xf numFmtId="164" fontId="19" fillId="0" borderId="3" xfId="58" applyFont="1" applyFill="1" applyBorder="1" applyAlignment="1" applyProtection="1">
      <alignment horizontal="center" vertical="center"/>
    </xf>
    <xf numFmtId="4" fontId="19" fillId="0" borderId="3" xfId="58" applyNumberFormat="1" applyFont="1" applyFill="1" applyBorder="1" applyAlignment="1" applyProtection="1">
      <alignment horizontal="center" vertical="center"/>
    </xf>
    <xf numFmtId="183" fontId="19" fillId="0" borderId="3" xfId="58" applyNumberFormat="1" applyFont="1" applyFill="1" applyBorder="1" applyAlignment="1" applyProtection="1">
      <alignment vertical="center"/>
    </xf>
    <xf numFmtId="10" fontId="19" fillId="0" borderId="3" xfId="58" applyNumberFormat="1" applyFont="1" applyFill="1" applyBorder="1" applyAlignment="1" applyProtection="1">
      <alignment vertical="center"/>
    </xf>
    <xf numFmtId="183" fontId="19" fillId="0" borderId="3" xfId="57" applyNumberFormat="1" applyFont="1" applyFill="1" applyBorder="1" applyAlignment="1" applyProtection="1">
      <alignment vertical="center"/>
    </xf>
    <xf numFmtId="0" fontId="20" fillId="0" borderId="31" xfId="0" applyFont="1" applyFill="1" applyBorder="1" applyAlignment="1">
      <alignment vertical="center"/>
    </xf>
    <xf numFmtId="0" fontId="18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vertical="center"/>
    </xf>
    <xf numFmtId="164" fontId="19" fillId="0" borderId="31" xfId="58" applyFont="1" applyFill="1" applyBorder="1" applyAlignment="1" applyProtection="1">
      <alignment vertical="center"/>
    </xf>
    <xf numFmtId="164" fontId="18" fillId="0" borderId="31" xfId="58" applyFont="1" applyFill="1" applyBorder="1" applyAlignment="1" applyProtection="1">
      <alignment vertical="center"/>
    </xf>
    <xf numFmtId="0" fontId="20" fillId="0" borderId="22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19" fillId="0" borderId="0" xfId="58" applyFont="1" applyFill="1" applyBorder="1" applyAlignment="1" applyProtection="1">
      <alignment vertical="center"/>
    </xf>
    <xf numFmtId="164" fontId="18" fillId="0" borderId="29" xfId="58" applyFont="1" applyFill="1" applyBorder="1" applyAlignment="1" applyProtection="1">
      <alignment vertical="center"/>
    </xf>
    <xf numFmtId="0" fontId="18" fillId="8" borderId="30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justify" vertical="center" wrapText="1"/>
    </xf>
    <xf numFmtId="0" fontId="19" fillId="8" borderId="30" xfId="0" applyFont="1" applyFill="1" applyBorder="1" applyAlignment="1">
      <alignment horizontal="center" vertical="center"/>
    </xf>
    <xf numFmtId="171" fontId="19" fillId="8" borderId="30" xfId="57" applyFont="1" applyFill="1" applyBorder="1" applyAlignment="1" applyProtection="1">
      <alignment horizontal="right" vertical="center"/>
    </xf>
    <xf numFmtId="4" fontId="18" fillId="8" borderId="30" xfId="0" applyNumberFormat="1" applyFont="1" applyFill="1" applyBorder="1" applyAlignment="1">
      <alignment horizontal="right" vertical="center"/>
    </xf>
    <xf numFmtId="171" fontId="19" fillId="8" borderId="30" xfId="57" applyFont="1" applyFill="1" applyBorder="1" applyAlignment="1" applyProtection="1">
      <alignment vertical="center"/>
    </xf>
    <xf numFmtId="39" fontId="19" fillId="0" borderId="3" xfId="58" applyNumberFormat="1" applyFont="1" applyFill="1" applyBorder="1" applyAlignment="1" applyProtection="1">
      <alignment vertical="center"/>
    </xf>
    <xf numFmtId="183" fontId="19" fillId="0" borderId="3" xfId="57" applyNumberFormat="1" applyFont="1" applyFill="1" applyBorder="1" applyAlignment="1" applyProtection="1">
      <alignment horizontal="right" vertical="center"/>
    </xf>
    <xf numFmtId="0" fontId="17" fillId="0" borderId="3" xfId="4" applyNumberFormat="1" applyFont="1" applyFill="1" applyBorder="1" applyAlignment="1" applyProtection="1">
      <alignment horizontal="justify" vertical="center" wrapText="1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81" fontId="17" fillId="0" borderId="3" xfId="58" applyNumberFormat="1" applyFont="1" applyFill="1" applyBorder="1" applyAlignment="1" applyProtection="1">
      <alignment vertical="center" wrapText="1"/>
    </xf>
    <xf numFmtId="164" fontId="18" fillId="0" borderId="3" xfId="47" applyFont="1" applyFill="1" applyBorder="1" applyAlignment="1" applyProtection="1">
      <alignment vertical="center"/>
    </xf>
    <xf numFmtId="49" fontId="17" fillId="0" borderId="3" xfId="0" applyNumberFormat="1" applyFont="1" applyFill="1" applyBorder="1" applyAlignment="1">
      <alignment horizontal="left" vertical="center" wrapText="1"/>
    </xf>
    <xf numFmtId="164" fontId="17" fillId="0" borderId="3" xfId="58" applyFont="1" applyFill="1" applyBorder="1" applyAlignment="1" applyProtection="1">
      <alignment horizontal="center" vertical="center" wrapText="1"/>
    </xf>
    <xf numFmtId="164" fontId="18" fillId="0" borderId="0" xfId="58" applyFont="1" applyFill="1" applyBorder="1" applyAlignment="1" applyProtection="1">
      <alignment horizontal="center" vertical="center"/>
    </xf>
    <xf numFmtId="0" fontId="56" fillId="8" borderId="3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4" fontId="18" fillId="0" borderId="3" xfId="47" applyFont="1" applyFill="1" applyBorder="1" applyAlignment="1" applyProtection="1">
      <alignment horizontal="center" vertical="center"/>
    </xf>
    <xf numFmtId="184" fontId="19" fillId="0" borderId="3" xfId="47" applyNumberFormat="1" applyFont="1" applyFill="1" applyBorder="1" applyAlignment="1" applyProtection="1">
      <alignment horizontal="center" vertical="center"/>
    </xf>
    <xf numFmtId="164" fontId="19" fillId="0" borderId="3" xfId="47" applyFont="1" applyFill="1" applyBorder="1" applyAlignment="1" applyProtection="1">
      <alignment vertical="center"/>
    </xf>
    <xf numFmtId="4" fontId="19" fillId="0" borderId="3" xfId="47" applyNumberFormat="1" applyFont="1" applyFill="1" applyBorder="1" applyAlignment="1" applyProtection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185" fontId="19" fillId="0" borderId="3" xfId="58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>
      <alignment horizontal="left" vertical="center" wrapText="1"/>
    </xf>
    <xf numFmtId="186" fontId="17" fillId="0" borderId="3" xfId="0" applyNumberFormat="1" applyFont="1" applyFill="1" applyBorder="1" applyAlignment="1">
      <alignment horizontal="right" vertical="center" wrapText="1"/>
    </xf>
    <xf numFmtId="4" fontId="19" fillId="0" borderId="3" xfId="57" applyNumberFormat="1" applyFont="1" applyFill="1" applyBorder="1" applyAlignment="1" applyProtection="1">
      <alignment horizontal="right" vertical="center"/>
    </xf>
    <xf numFmtId="4" fontId="19" fillId="0" borderId="3" xfId="57" applyNumberFormat="1" applyFont="1" applyFill="1" applyBorder="1" applyAlignment="1" applyProtection="1">
      <alignment vertical="center"/>
    </xf>
    <xf numFmtId="49" fontId="20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64" fontId="18" fillId="0" borderId="0" xfId="58" applyFont="1" applyFill="1" applyBorder="1" applyAlignment="1" applyProtection="1">
      <alignment horizontal="center" vertical="center" wrapText="1"/>
    </xf>
    <xf numFmtId="0" fontId="58" fillId="0" borderId="0" xfId="0" applyFont="1" applyBorder="1" applyAlignment="1">
      <alignment vertical="center"/>
    </xf>
    <xf numFmtId="167" fontId="19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164" fontId="19" fillId="0" borderId="3" xfId="47" applyFont="1" applyFill="1" applyBorder="1" applyAlignment="1" applyProtection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59" fillId="0" borderId="3" xfId="0" applyFont="1" applyFill="1" applyBorder="1" applyAlignment="1">
      <alignment vertical="center"/>
    </xf>
    <xf numFmtId="2" fontId="19" fillId="0" borderId="0" xfId="0" applyNumberFormat="1" applyFont="1" applyBorder="1" applyAlignment="1">
      <alignment horizontal="right" vertical="center"/>
    </xf>
    <xf numFmtId="187" fontId="19" fillId="0" borderId="3" xfId="57" applyNumberFormat="1" applyFont="1" applyFill="1" applyBorder="1" applyAlignment="1" applyProtection="1">
      <alignment vertical="center"/>
    </xf>
    <xf numFmtId="2" fontId="17" fillId="0" borderId="0" xfId="0" applyNumberFormat="1" applyFont="1" applyBorder="1" applyAlignment="1">
      <alignment vertical="center"/>
    </xf>
    <xf numFmtId="0" fontId="55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5" fillId="12" borderId="4" xfId="0" applyFont="1" applyFill="1" applyBorder="1" applyAlignment="1">
      <alignment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vertical="center"/>
    </xf>
    <xf numFmtId="0" fontId="17" fillId="12" borderId="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18" fillId="0" borderId="0" xfId="58" applyFont="1" applyFill="1" applyBorder="1" applyAlignment="1" applyProtection="1">
      <alignment vertical="center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justify" vertical="top"/>
    </xf>
    <xf numFmtId="0" fontId="22" fillId="0" borderId="0" xfId="14" applyNumberFormat="1" applyFont="1" applyFill="1" applyBorder="1" applyAlignment="1" applyProtection="1">
      <alignment horizontal="center" vertical="top"/>
    </xf>
    <xf numFmtId="0" fontId="22" fillId="0" borderId="0" xfId="14" applyNumberFormat="1" applyFont="1" applyFill="1" applyBorder="1" applyAlignment="1" applyProtection="1">
      <alignment horizontal="justify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justify" vertical="top"/>
    </xf>
    <xf numFmtId="0" fontId="22" fillId="0" borderId="0" xfId="11" applyNumberFormat="1" applyFont="1" applyFill="1" applyBorder="1" applyAlignment="1" applyProtection="1">
      <alignment vertical="top" wrapText="1"/>
    </xf>
    <xf numFmtId="0" fontId="15" fillId="0" borderId="0" xfId="11" applyNumberFormat="1" applyFont="1" applyFill="1" applyBorder="1" applyAlignment="1" applyProtection="1">
      <alignment vertical="top"/>
      <protection locked="0"/>
    </xf>
    <xf numFmtId="175" fontId="15" fillId="0" borderId="0" xfId="0" applyNumberFormat="1" applyFont="1" applyFill="1"/>
    <xf numFmtId="14" fontId="15" fillId="0" borderId="0" xfId="11" applyNumberFormat="1" applyFont="1" applyFill="1" applyBorder="1" applyAlignment="1" applyProtection="1">
      <alignment horizontal="left"/>
      <protection locked="0"/>
    </xf>
    <xf numFmtId="14" fontId="15" fillId="0" borderId="0" xfId="11" applyNumberFormat="1" applyFont="1" applyFill="1" applyBorder="1" applyAlignment="1" applyProtection="1">
      <alignment horizontal="justify" vertical="top"/>
      <protection locked="0"/>
    </xf>
    <xf numFmtId="0" fontId="15" fillId="0" borderId="0" xfId="11" applyNumberFormat="1" applyFont="1" applyFill="1" applyBorder="1" applyAlignment="1" applyProtection="1">
      <alignment horizontal="center"/>
      <protection locked="0"/>
    </xf>
    <xf numFmtId="176" fontId="27" fillId="5" borderId="0" xfId="0" applyNumberFormat="1" applyFont="1" applyFill="1" applyAlignment="1">
      <alignment horizontal="center"/>
    </xf>
    <xf numFmtId="0" fontId="27" fillId="3" borderId="0" xfId="14" applyNumberFormat="1" applyFont="1" applyBorder="1" applyAlignment="1" applyProtection="1">
      <alignment horizontal="center"/>
    </xf>
    <xf numFmtId="9" fontId="27" fillId="3" borderId="0" xfId="41" applyFont="1" applyFill="1" applyBorder="1" applyAlignment="1" applyProtection="1">
      <alignment horizontal="center"/>
    </xf>
    <xf numFmtId="0" fontId="28" fillId="10" borderId="3" xfId="0" applyFont="1" applyFill="1" applyBorder="1" applyAlignment="1">
      <alignment horizontal="center" vertical="top" wrapText="1"/>
    </xf>
    <xf numFmtId="0" fontId="28" fillId="10" borderId="3" xfId="0" applyNumberFormat="1" applyFont="1" applyFill="1" applyBorder="1" applyAlignment="1">
      <alignment horizontal="justify" vertical="top" wrapText="1"/>
    </xf>
    <xf numFmtId="49" fontId="30" fillId="0" borderId="8" xfId="0" applyNumberFormat="1" applyFont="1" applyFill="1" applyBorder="1" applyAlignment="1">
      <alignment horizontal="center" vertical="top"/>
    </xf>
    <xf numFmtId="0" fontId="31" fillId="0" borderId="8" xfId="0" applyFont="1" applyFill="1" applyBorder="1" applyAlignment="1">
      <alignment horizontal="center" vertical="top" wrapText="1"/>
    </xf>
    <xf numFmtId="0" fontId="30" fillId="0" borderId="8" xfId="0" applyNumberFormat="1" applyFont="1" applyFill="1" applyBorder="1" applyAlignment="1">
      <alignment horizontal="center" vertical="top"/>
    </xf>
    <xf numFmtId="0" fontId="30" fillId="0" borderId="8" xfId="0" applyNumberFormat="1" applyFont="1" applyFill="1" applyBorder="1" applyAlignment="1">
      <alignment horizontal="justify" vertical="top" wrapText="1"/>
    </xf>
    <xf numFmtId="0" fontId="30" fillId="0" borderId="8" xfId="0" applyNumberFormat="1" applyFont="1" applyFill="1" applyBorder="1" applyAlignment="1">
      <alignment horizontal="center"/>
    </xf>
    <xf numFmtId="176" fontId="30" fillId="0" borderId="21" xfId="0" applyNumberFormat="1" applyFont="1" applyFill="1" applyBorder="1" applyAlignment="1"/>
    <xf numFmtId="49" fontId="28" fillId="10" borderId="3" xfId="0" applyNumberFormat="1" applyFont="1" applyFill="1" applyBorder="1" applyAlignment="1">
      <alignment horizontal="center" vertical="top"/>
    </xf>
    <xf numFmtId="0" fontId="28" fillId="10" borderId="3" xfId="0" applyFont="1" applyFill="1" applyBorder="1" applyAlignment="1">
      <alignment vertical="top"/>
    </xf>
    <xf numFmtId="0" fontId="30" fillId="10" borderId="3" xfId="0" applyFont="1" applyFill="1" applyBorder="1" applyAlignment="1">
      <alignment horizontal="center" wrapText="1"/>
    </xf>
    <xf numFmtId="176" fontId="30" fillId="10" borderId="3" xfId="0" applyNumberFormat="1" applyFont="1" applyFill="1" applyBorder="1" applyAlignment="1">
      <alignment horizontal="center"/>
    </xf>
    <xf numFmtId="49" fontId="30" fillId="0" borderId="20" xfId="0" applyNumberFormat="1" applyFont="1" applyFill="1" applyBorder="1" applyAlignment="1">
      <alignment horizontal="center" vertical="top"/>
    </xf>
    <xf numFmtId="0" fontId="26" fillId="0" borderId="32" xfId="0" applyFont="1" applyBorder="1" applyAlignment="1">
      <alignment vertical="top"/>
    </xf>
    <xf numFmtId="0" fontId="30" fillId="0" borderId="20" xfId="0" applyNumberFormat="1" applyFont="1" applyFill="1" applyBorder="1" applyAlignment="1">
      <alignment horizontal="center" vertical="top"/>
    </xf>
    <xf numFmtId="0" fontId="30" fillId="0" borderId="20" xfId="0" applyNumberFormat="1" applyFont="1" applyFill="1" applyBorder="1" applyAlignment="1">
      <alignment horizontal="justify" vertical="top" wrapText="1"/>
    </xf>
    <xf numFmtId="0" fontId="30" fillId="0" borderId="20" xfId="0" applyNumberFormat="1" applyFont="1" applyFill="1" applyBorder="1" applyAlignment="1">
      <alignment horizontal="center"/>
    </xf>
    <xf numFmtId="176" fontId="30" fillId="0" borderId="20" xfId="0" applyNumberFormat="1" applyFont="1" applyFill="1" applyBorder="1" applyAlignment="1"/>
    <xf numFmtId="49" fontId="30" fillId="0" borderId="21" xfId="0" applyNumberFormat="1" applyFont="1" applyFill="1" applyBorder="1" applyAlignment="1">
      <alignment horizontal="center" vertical="top"/>
    </xf>
    <xf numFmtId="0" fontId="30" fillId="0" borderId="21" xfId="0" applyNumberFormat="1" applyFont="1" applyFill="1" applyBorder="1" applyAlignment="1">
      <alignment horizontal="center" vertical="top"/>
    </xf>
    <xf numFmtId="0" fontId="30" fillId="0" borderId="21" xfId="0" applyNumberFormat="1" applyFont="1" applyFill="1" applyBorder="1" applyAlignment="1">
      <alignment horizontal="justify" vertical="top" wrapText="1"/>
    </xf>
    <xf numFmtId="0" fontId="30" fillId="0" borderId="21" xfId="0" applyNumberFormat="1" applyFont="1" applyFill="1" applyBorder="1" applyAlignment="1">
      <alignment horizontal="center"/>
    </xf>
    <xf numFmtId="49" fontId="34" fillId="0" borderId="8" xfId="0" applyNumberFormat="1" applyFont="1" applyFill="1" applyBorder="1" applyAlignment="1">
      <alignment horizontal="center" vertical="top"/>
    </xf>
    <xf numFmtId="0" fontId="26" fillId="0" borderId="8" xfId="0" applyFont="1" applyBorder="1" applyAlignment="1">
      <alignment vertical="top"/>
    </xf>
    <xf numFmtId="0" fontId="34" fillId="0" borderId="8" xfId="0" applyFont="1" applyFill="1" applyBorder="1" applyAlignment="1">
      <alignment horizontal="center" vertical="top"/>
    </xf>
    <xf numFmtId="0" fontId="34" fillId="0" borderId="8" xfId="0" applyFont="1" applyFill="1" applyBorder="1" applyAlignment="1">
      <alignment horizontal="justify" vertical="top" wrapText="1"/>
    </xf>
    <xf numFmtId="0" fontId="34" fillId="0" borderId="8" xfId="0" applyFont="1" applyFill="1" applyBorder="1" applyAlignment="1">
      <alignment horizontal="center"/>
    </xf>
    <xf numFmtId="176" fontId="34" fillId="0" borderId="8" xfId="0" applyNumberFormat="1" applyFont="1" applyFill="1" applyBorder="1" applyAlignment="1">
      <alignment horizontal="center"/>
    </xf>
    <xf numFmtId="176" fontId="30" fillId="0" borderId="8" xfId="0" applyNumberFormat="1" applyFont="1" applyFill="1" applyBorder="1" applyAlignment="1"/>
    <xf numFmtId="0" fontId="34" fillId="0" borderId="8" xfId="0" applyNumberFormat="1" applyFont="1" applyFill="1" applyBorder="1" applyAlignment="1">
      <alignment horizontal="center" vertical="top"/>
    </xf>
    <xf numFmtId="0" fontId="34" fillId="0" borderId="8" xfId="0" applyNumberFormat="1" applyFont="1" applyFill="1" applyBorder="1" applyAlignment="1">
      <alignment horizontal="justify" vertical="top" wrapText="1"/>
    </xf>
    <xf numFmtId="0" fontId="34" fillId="0" borderId="8" xfId="0" applyNumberFormat="1" applyFont="1" applyFill="1" applyBorder="1" applyAlignment="1">
      <alignment horizontal="center"/>
    </xf>
    <xf numFmtId="176" fontId="34" fillId="0" borderId="8" xfId="0" applyNumberFormat="1" applyFont="1" applyFill="1" applyBorder="1" applyAlignment="1"/>
    <xf numFmtId="49" fontId="28" fillId="0" borderId="21" xfId="0" applyNumberFormat="1" applyFont="1" applyFill="1" applyBorder="1" applyAlignment="1">
      <alignment horizontal="center" vertical="top"/>
    </xf>
    <xf numFmtId="0" fontId="33" fillId="0" borderId="9" xfId="0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center" vertical="top"/>
    </xf>
    <xf numFmtId="0" fontId="28" fillId="0" borderId="21" xfId="0" applyNumberFormat="1" applyFont="1" applyFill="1" applyBorder="1" applyAlignment="1">
      <alignment horizontal="justify" vertical="top" wrapText="1"/>
    </xf>
    <xf numFmtId="0" fontId="33" fillId="0" borderId="8" xfId="0" applyFont="1" applyFill="1" applyBorder="1" applyAlignment="1">
      <alignment horizontal="center" vertical="top" wrapText="1"/>
    </xf>
    <xf numFmtId="49" fontId="28" fillId="0" borderId="8" xfId="0" applyNumberFormat="1" applyFont="1" applyFill="1" applyBorder="1" applyAlignment="1">
      <alignment horizontal="center" vertical="top"/>
    </xf>
    <xf numFmtId="0" fontId="28" fillId="0" borderId="8" xfId="0" applyNumberFormat="1" applyFont="1" applyFill="1" applyBorder="1" applyAlignment="1">
      <alignment horizontal="center" vertical="top"/>
    </xf>
    <xf numFmtId="0" fontId="28" fillId="0" borderId="8" xfId="0" applyNumberFormat="1" applyFont="1" applyFill="1" applyBorder="1" applyAlignment="1">
      <alignment horizontal="justify" vertical="top" wrapText="1"/>
    </xf>
    <xf numFmtId="0" fontId="28" fillId="0" borderId="8" xfId="0" applyNumberFormat="1" applyFont="1" applyFill="1" applyBorder="1" applyAlignment="1">
      <alignment horizontal="center"/>
    </xf>
    <xf numFmtId="176" fontId="28" fillId="0" borderId="8" xfId="0" applyNumberFormat="1" applyFont="1" applyFill="1" applyBorder="1" applyAlignment="1"/>
    <xf numFmtId="0" fontId="31" fillId="0" borderId="9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vertical="top"/>
    </xf>
    <xf numFmtId="0" fontId="1" fillId="6" borderId="8" xfId="0" applyFont="1" applyFill="1" applyBorder="1" applyAlignment="1">
      <alignment horizontal="justify" vertical="top"/>
    </xf>
    <xf numFmtId="49" fontId="15" fillId="8" borderId="4" xfId="0" applyNumberFormat="1" applyFont="1" applyFill="1" applyBorder="1" applyAlignment="1">
      <alignment horizontal="center" vertical="top"/>
    </xf>
    <xf numFmtId="0" fontId="15" fillId="8" borderId="17" xfId="0" applyFont="1" applyFill="1" applyBorder="1" applyAlignment="1">
      <alignment vertical="top"/>
    </xf>
    <xf numFmtId="0" fontId="15" fillId="8" borderId="17" xfId="0" applyFont="1" applyFill="1" applyBorder="1" applyAlignment="1">
      <alignment horizontal="justify" vertical="top" wrapText="1"/>
    </xf>
    <xf numFmtId="0" fontId="15" fillId="8" borderId="17" xfId="0" applyFont="1" applyFill="1" applyBorder="1" applyAlignment="1">
      <alignment horizontal="center"/>
    </xf>
    <xf numFmtId="176" fontId="15" fillId="8" borderId="5" xfId="0" applyNumberFormat="1" applyFont="1" applyFill="1" applyBorder="1" applyAlignment="1">
      <alignment horizontal="center"/>
    </xf>
    <xf numFmtId="167" fontId="0" fillId="0" borderId="0" xfId="0" applyNumberFormat="1"/>
    <xf numFmtId="0" fontId="26" fillId="0" borderId="0" xfId="0" applyFont="1" applyBorder="1" applyAlignment="1">
      <alignment vertical="top"/>
    </xf>
    <xf numFmtId="0" fontId="60" fillId="0" borderId="0" xfId="0" applyFont="1"/>
    <xf numFmtId="0" fontId="54" fillId="0" borderId="0" xfId="0" applyFont="1"/>
    <xf numFmtId="0" fontId="61" fillId="0" borderId="33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0" fillId="0" borderId="33" xfId="0" applyFont="1" applyBorder="1" applyAlignment="1">
      <alignment horizontal="right"/>
    </xf>
    <xf numFmtId="10" fontId="60" fillId="0" borderId="33" xfId="0" applyNumberFormat="1" applyFont="1" applyBorder="1" applyAlignment="1">
      <alignment horizontal="right" vertical="center"/>
    </xf>
    <xf numFmtId="0" fontId="61" fillId="0" borderId="33" xfId="0" applyFont="1" applyBorder="1"/>
    <xf numFmtId="0" fontId="60" fillId="0" borderId="33" xfId="0" applyFont="1" applyBorder="1"/>
    <xf numFmtId="0" fontId="62" fillId="0" borderId="33" xfId="0" applyFont="1" applyBorder="1" applyAlignment="1">
      <alignment wrapText="1"/>
    </xf>
    <xf numFmtId="0" fontId="61" fillId="0" borderId="33" xfId="0" applyFont="1" applyBorder="1" applyAlignment="1">
      <alignment horizontal="right"/>
    </xf>
    <xf numFmtId="0" fontId="60" fillId="9" borderId="33" xfId="0" applyFont="1" applyFill="1" applyBorder="1" applyAlignment="1">
      <alignment horizontal="right"/>
    </xf>
    <xf numFmtId="10" fontId="60" fillId="9" borderId="33" xfId="0" applyNumberFormat="1" applyFont="1" applyFill="1" applyBorder="1" applyAlignment="1">
      <alignment horizontal="right" vertical="center"/>
    </xf>
    <xf numFmtId="0" fontId="60" fillId="9" borderId="33" xfId="0" applyFont="1" applyFill="1" applyBorder="1"/>
    <xf numFmtId="0" fontId="61" fillId="0" borderId="33" xfId="0" applyFont="1" applyBorder="1" applyAlignment="1">
      <alignment horizontal="left"/>
    </xf>
    <xf numFmtId="0" fontId="63" fillId="0" borderId="33" xfId="0" applyFont="1" applyBorder="1" applyAlignment="1">
      <alignment horizontal="center" wrapText="1"/>
    </xf>
    <xf numFmtId="0" fontId="49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14" applyNumberFormat="1" applyFont="1" applyFill="1" applyBorder="1" applyAlignment="1" applyProtection="1">
      <alignment horizont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/>
    </xf>
    <xf numFmtId="167" fontId="0" fillId="0" borderId="0" xfId="0" applyNumberFormat="1" applyFont="1" applyBorder="1" applyAlignment="1">
      <alignment horizontal="right"/>
    </xf>
    <xf numFmtId="0" fontId="22" fillId="0" borderId="0" xfId="14" applyNumberFormat="1" applyFont="1" applyFill="1" applyBorder="1" applyAlignment="1" applyProtection="1">
      <alignment horizontal="center" vertical="center"/>
    </xf>
    <xf numFmtId="0" fontId="15" fillId="0" borderId="0" xfId="11" applyNumberFormat="1" applyFont="1" applyFill="1" applyBorder="1" applyAlignment="1" applyProtection="1">
      <alignment horizontal="justify" vertical="center" wrapText="1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11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71" fontId="3" fillId="8" borderId="3" xfId="57" applyFont="1" applyFill="1" applyBorder="1" applyAlignment="1" applyProtection="1">
      <alignment horizontal="center" vertical="center" wrapText="1"/>
    </xf>
    <xf numFmtId="167" fontId="0" fillId="0" borderId="0" xfId="0" applyNumberForma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0" xfId="12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 wrapText="1"/>
    </xf>
    <xf numFmtId="167" fontId="2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43" fillId="0" borderId="0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4" fontId="18" fillId="6" borderId="3" xfId="0" applyNumberFormat="1" applyFont="1" applyFill="1" applyBorder="1" applyAlignment="1">
      <alignment horizontal="right" vertical="center" wrapText="1"/>
    </xf>
    <xf numFmtId="10" fontId="18" fillId="6" borderId="3" xfId="43" applyNumberFormat="1" applyFont="1" applyFill="1" applyBorder="1" applyAlignment="1" applyProtection="1">
      <alignment horizontal="center" vertical="center" wrapText="1"/>
    </xf>
    <xf numFmtId="4" fontId="19" fillId="0" borderId="3" xfId="0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justify" vertical="center" wrapText="1"/>
    </xf>
    <xf numFmtId="9" fontId="18" fillId="6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167" fontId="0" fillId="0" borderId="0" xfId="0" applyNumberFormat="1" applyBorder="1" applyAlignment="1">
      <alignment horizontal="right"/>
    </xf>
    <xf numFmtId="164" fontId="18" fillId="6" borderId="3" xfId="58" applyFont="1" applyFill="1" applyBorder="1" applyAlignment="1" applyProtection="1">
      <alignment horizontal="right" vertical="center"/>
    </xf>
    <xf numFmtId="0" fontId="46" fillId="6" borderId="36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left"/>
    </xf>
    <xf numFmtId="0" fontId="47" fillId="6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left"/>
    </xf>
    <xf numFmtId="0" fontId="46" fillId="6" borderId="0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 wrapText="1"/>
    </xf>
    <xf numFmtId="0" fontId="48" fillId="6" borderId="0" xfId="0" applyFont="1" applyFill="1" applyBorder="1" applyAlignment="1">
      <alignment horizontal="center" vertical="center"/>
    </xf>
    <xf numFmtId="0" fontId="46" fillId="6" borderId="24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46" fillId="0" borderId="0" xfId="0" applyFont="1" applyAlignment="1">
      <alignment horizontal="right"/>
    </xf>
    <xf numFmtId="0" fontId="47" fillId="6" borderId="34" xfId="0" applyFont="1" applyFill="1" applyBorder="1" applyAlignment="1">
      <alignment horizontal="left"/>
    </xf>
    <xf numFmtId="0" fontId="49" fillId="0" borderId="0" xfId="0" applyFont="1" applyBorder="1" applyAlignment="1">
      <alignment horizontal="center"/>
    </xf>
    <xf numFmtId="0" fontId="49" fillId="0" borderId="35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 vertical="top" wrapText="1"/>
    </xf>
    <xf numFmtId="0" fontId="51" fillId="8" borderId="17" xfId="0" applyFont="1" applyFill="1" applyBorder="1" applyAlignment="1">
      <alignment horizontal="center"/>
    </xf>
    <xf numFmtId="0" fontId="37" fillId="0" borderId="3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justify" vertical="top" wrapText="1"/>
    </xf>
    <xf numFmtId="0" fontId="15" fillId="0" borderId="0" xfId="0" applyFont="1" applyFill="1" applyBorder="1" applyAlignment="1">
      <alignment horizontal="left" vertical="top"/>
    </xf>
    <xf numFmtId="0" fontId="51" fillId="0" borderId="0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7" fontId="17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5" fillId="0" borderId="0" xfId="11" applyNumberFormat="1" applyFont="1" applyFill="1" applyBorder="1" applyAlignment="1" applyProtection="1">
      <alignment horizontal="justify" vertical="top" wrapText="1"/>
      <protection locked="0"/>
    </xf>
    <xf numFmtId="0" fontId="23" fillId="0" borderId="0" xfId="0" applyFont="1" applyBorder="1" applyAlignment="1">
      <alignment horizontal="left" vertical="top" wrapText="1"/>
    </xf>
    <xf numFmtId="4" fontId="23" fillId="0" borderId="0" xfId="0" applyNumberFormat="1" applyFont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justify" vertical="top" wrapText="1"/>
    </xf>
    <xf numFmtId="171" fontId="3" fillId="8" borderId="3" xfId="57" applyFont="1" applyFill="1" applyBorder="1" applyAlignment="1" applyProtection="1">
      <alignment horizontal="center" vertical="top" wrapText="1"/>
    </xf>
    <xf numFmtId="0" fontId="24" fillId="0" borderId="3" xfId="0" applyFont="1" applyBorder="1" applyAlignment="1">
      <alignment horizontal="center"/>
    </xf>
    <xf numFmtId="0" fontId="61" fillId="0" borderId="33" xfId="0" applyFont="1" applyBorder="1" applyAlignment="1">
      <alignment horizontal="center"/>
    </xf>
    <xf numFmtId="10" fontId="60" fillId="0" borderId="33" xfId="0" applyNumberFormat="1" applyFont="1" applyBorder="1" applyAlignment="1">
      <alignment horizontal="center" vertical="center"/>
    </xf>
    <xf numFmtId="10" fontId="62" fillId="0" borderId="33" xfId="0" applyNumberFormat="1" applyFont="1" applyBorder="1" applyAlignment="1">
      <alignment horizontal="right" vertical="center"/>
    </xf>
    <xf numFmtId="10" fontId="62" fillId="9" borderId="33" xfId="0" applyNumberFormat="1" applyFont="1" applyFill="1" applyBorder="1" applyAlignment="1">
      <alignment horizontal="right" vertical="center"/>
    </xf>
    <xf numFmtId="10" fontId="60" fillId="9" borderId="33" xfId="0" applyNumberFormat="1" applyFont="1" applyFill="1" applyBorder="1" applyAlignment="1">
      <alignment horizontal="center" vertical="center"/>
    </xf>
    <xf numFmtId="49" fontId="60" fillId="0" borderId="33" xfId="0" applyNumberFormat="1" applyFont="1" applyBorder="1" applyAlignment="1">
      <alignment horizontal="center" vertical="center"/>
    </xf>
    <xf numFmtId="10" fontId="60" fillId="0" borderId="33" xfId="0" applyNumberFormat="1" applyFont="1" applyBorder="1" applyAlignment="1">
      <alignment horizontal="right" vertical="center"/>
    </xf>
    <xf numFmtId="49" fontId="60" fillId="0" borderId="33" xfId="0" applyNumberFormat="1" applyFont="1" applyBorder="1" applyAlignment="1">
      <alignment horizontal="right" vertical="center"/>
    </xf>
    <xf numFmtId="10" fontId="62" fillId="0" borderId="33" xfId="0" applyNumberFormat="1" applyFont="1" applyBorder="1" applyAlignment="1">
      <alignment vertical="center"/>
    </xf>
    <xf numFmtId="10" fontId="63" fillId="0" borderId="33" xfId="0" applyNumberFormat="1" applyFont="1" applyBorder="1" applyAlignment="1">
      <alignment horizontal="center" vertical="center"/>
    </xf>
    <xf numFmtId="10" fontId="62" fillId="0" borderId="33" xfId="0" applyNumberFormat="1" applyFont="1" applyBorder="1" applyAlignment="1">
      <alignment horizontal="center" vertical="center"/>
    </xf>
  </cellXfs>
  <cellStyles count="60">
    <cellStyle name="0,0_x000d__x000a_NA_x000d__x000a_" xfId="1"/>
    <cellStyle name="Comma 2" xfId="2"/>
    <cellStyle name="Currency 2" xfId="3"/>
    <cellStyle name="Default" xfId="4"/>
    <cellStyle name="Estilo 1" xfId="5"/>
    <cellStyle name="Estilo 2" xfId="6"/>
    <cellStyle name="Estilo 3" xfId="7"/>
    <cellStyle name="Estilo 4" xfId="8"/>
    <cellStyle name="Estilo 5" xfId="9"/>
    <cellStyle name="Estilo 6" xfId="10"/>
    <cellStyle name="Excel_BuiltIn_40% - Ênfase4" xfId="11"/>
    <cellStyle name="Excel_BuiltIn_60% - Ênfase4" xfId="12"/>
    <cellStyle name="Excel_BuiltIn_Ênfase3" xfId="13"/>
    <cellStyle name="Excel_BuiltIn_Ênfase4" xfId="14"/>
    <cellStyle name="Hyperlink 2" xfId="15"/>
    <cellStyle name="Moeda" xfId="16" builtinId="4"/>
    <cellStyle name="Moeda 2" xfId="17"/>
    <cellStyle name="Moeda 2 2" xfId="18"/>
    <cellStyle name="Moeda 2 3" xfId="19"/>
    <cellStyle name="Moeda 2_EMLURB" xfId="20"/>
    <cellStyle name="Moeda 3" xfId="21"/>
    <cellStyle name="Moeda 3 2" xfId="22"/>
    <cellStyle name="Moeda 3 3" xfId="23"/>
    <cellStyle name="Moeda 3_EMLURB" xfId="24"/>
    <cellStyle name="Moeda 4" xfId="25"/>
    <cellStyle name="Moeda 5" xfId="26"/>
    <cellStyle name="Monthly Totals" xfId="27"/>
    <cellStyle name="Normal" xfId="0" builtinId="0"/>
    <cellStyle name="Normal 2" xfId="28"/>
    <cellStyle name="Normal 2 2" xfId="29"/>
    <cellStyle name="Normal 2 2 2" xfId="30"/>
    <cellStyle name="Normal 2_EMLURB" xfId="31"/>
    <cellStyle name="Normal 3" xfId="32"/>
    <cellStyle name="Normal 3 2" xfId="33"/>
    <cellStyle name="Normal 3_PLANILHA PMV-USB-MARIO BEZERRA" xfId="34"/>
    <cellStyle name="Normal 4" xfId="35"/>
    <cellStyle name="Normal 5" xfId="36"/>
    <cellStyle name="Normal_C%C3%B3pia de MEMORIA(1)" xfId="37"/>
    <cellStyle name="Normal_Empresa-MurodeContenção(ContratoNº)" xfId="38"/>
    <cellStyle name="Page Title Bar" xfId="39"/>
    <cellStyle name="Percent 2" xfId="40"/>
    <cellStyle name="Porcentagem" xfId="41" builtinId="5"/>
    <cellStyle name="Porcentagem 2" xfId="42"/>
    <cellStyle name="Porcentagem 2 2" xfId="43"/>
    <cellStyle name="Porcentagem 3" xfId="44"/>
    <cellStyle name="Separador de milhares 17" xfId="45"/>
    <cellStyle name="Separador de milhares 2" xfId="46"/>
    <cellStyle name="Separador de milhares 2 2" xfId="47"/>
    <cellStyle name="Separador de milhares 2_EMLURB" xfId="48"/>
    <cellStyle name="Separador de milhares 3" xfId="49"/>
    <cellStyle name="Separador de milhares 3 2" xfId="50"/>
    <cellStyle name="Separador de milhares 3 3" xfId="51"/>
    <cellStyle name="Separador de milhares 3 4" xfId="52"/>
    <cellStyle name="Separador de milhares 3_EMLURB" xfId="53"/>
    <cellStyle name="Separador de milhares 4" xfId="54"/>
    <cellStyle name="Separador de milhares 5" xfId="55"/>
    <cellStyle name="Titulo2 Seduc" xfId="56"/>
    <cellStyle name="Vírgula" xfId="57" builtinId="3"/>
    <cellStyle name="Vírgula 2" xfId="58"/>
    <cellStyle name="Year to date information" xfId="59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57150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2609850" y="273653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57150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2609850" y="273653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85725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2609850" y="273653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85725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2609850" y="273653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57150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2609850" y="273653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57150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2609850" y="273653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85725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2609850" y="273653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85725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2609850" y="273653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66675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2609850" y="27365325"/>
          <a:ext cx="85725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66675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2609850" y="27365325"/>
          <a:ext cx="85725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104775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2609850" y="27365325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104775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2609850" y="27365325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2609850" y="27365325"/>
          <a:ext cx="8572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2609850" y="27365325"/>
          <a:ext cx="8572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114300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2609850" y="27365325"/>
          <a:ext cx="857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114300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2609850" y="27365325"/>
          <a:ext cx="857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95250</xdr:rowOff>
    </xdr:from>
    <xdr:to>
      <xdr:col>5</xdr:col>
      <xdr:colOff>933450</xdr:colOff>
      <xdr:row>5</xdr:row>
      <xdr:rowOff>9525</xdr:rowOff>
    </xdr:to>
    <xdr:pic>
      <xdr:nvPicPr>
        <xdr:cNvPr id="13360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95250"/>
          <a:ext cx="7429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1514475" y="1434465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514475" y="1434465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1514475" y="1434465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1514475" y="1434465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171450</xdr:rowOff>
    </xdr:from>
    <xdr:to>
      <xdr:col>4</xdr:col>
      <xdr:colOff>752475</xdr:colOff>
      <xdr:row>4</xdr:row>
      <xdr:rowOff>180975</xdr:rowOff>
    </xdr:to>
    <xdr:pic>
      <xdr:nvPicPr>
        <xdr:cNvPr id="3120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71450"/>
          <a:ext cx="60007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66675</xdr:rowOff>
    </xdr:from>
    <xdr:to>
      <xdr:col>10</xdr:col>
      <xdr:colOff>828675</xdr:colOff>
      <xdr:row>5</xdr:row>
      <xdr:rowOff>66675</xdr:rowOff>
    </xdr:to>
    <xdr:pic>
      <xdr:nvPicPr>
        <xdr:cNvPr id="414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66675"/>
          <a:ext cx="73342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0</xdr:row>
      <xdr:rowOff>57150</xdr:rowOff>
    </xdr:from>
    <xdr:to>
      <xdr:col>8</xdr:col>
      <xdr:colOff>704850</xdr:colOff>
      <xdr:row>4</xdr:row>
      <xdr:rowOff>133350</xdr:rowOff>
    </xdr:to>
    <xdr:pic>
      <xdr:nvPicPr>
        <xdr:cNvPr id="5168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7150"/>
          <a:ext cx="72390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66675</xdr:rowOff>
    </xdr:from>
    <xdr:to>
      <xdr:col>7</xdr:col>
      <xdr:colOff>828675</xdr:colOff>
      <xdr:row>5</xdr:row>
      <xdr:rowOff>57150</xdr:rowOff>
    </xdr:to>
    <xdr:pic>
      <xdr:nvPicPr>
        <xdr:cNvPr id="619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66675"/>
          <a:ext cx="7334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0</xdr:row>
      <xdr:rowOff>180975</xdr:rowOff>
    </xdr:from>
    <xdr:to>
      <xdr:col>8</xdr:col>
      <xdr:colOff>609600</xdr:colOff>
      <xdr:row>6</xdr:row>
      <xdr:rowOff>38100</xdr:rowOff>
    </xdr:to>
    <xdr:pic>
      <xdr:nvPicPr>
        <xdr:cNvPr id="721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80975"/>
          <a:ext cx="781050" cy="1000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1143000</xdr:colOff>
      <xdr:row>3</xdr:row>
      <xdr:rowOff>133350</xdr:rowOff>
    </xdr:to>
    <xdr:pic>
      <xdr:nvPicPr>
        <xdr:cNvPr id="822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981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595</xdr:row>
      <xdr:rowOff>0</xdr:rowOff>
    </xdr:from>
    <xdr:to>
      <xdr:col>2</xdr:col>
      <xdr:colOff>85725</xdr:colOff>
      <xdr:row>595</xdr:row>
      <xdr:rowOff>104775</xdr:rowOff>
    </xdr:to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1885950" y="10728960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595</xdr:row>
      <xdr:rowOff>104775</xdr:rowOff>
    </xdr:to>
    <xdr:sp macro="" textlink="">
      <xdr:nvSpPr>
        <xdr:cNvPr id="12807" name="Text Box 2"/>
        <xdr:cNvSpPr txBox="1">
          <a:spLocks noChangeArrowheads="1"/>
        </xdr:cNvSpPr>
      </xdr:nvSpPr>
      <xdr:spPr bwMode="auto">
        <a:xfrm>
          <a:off x="1885950" y="10728960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809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595</xdr:row>
      <xdr:rowOff>104775</xdr:rowOff>
    </xdr:to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1885950" y="10728960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595</xdr:row>
      <xdr:rowOff>104775</xdr:rowOff>
    </xdr:to>
    <xdr:sp macro="" textlink="">
      <xdr:nvSpPr>
        <xdr:cNvPr id="12811" name="Text Box 2"/>
        <xdr:cNvSpPr txBox="1">
          <a:spLocks noChangeArrowheads="1"/>
        </xdr:cNvSpPr>
      </xdr:nvSpPr>
      <xdr:spPr bwMode="auto">
        <a:xfrm>
          <a:off x="1885950" y="10728960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813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815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85725</xdr:colOff>
      <xdr:row>1</xdr:row>
      <xdr:rowOff>0</xdr:rowOff>
    </xdr:from>
    <xdr:to>
      <xdr:col>0</xdr:col>
      <xdr:colOff>685800</xdr:colOff>
      <xdr:row>5</xdr:row>
      <xdr:rowOff>38100</xdr:rowOff>
    </xdr:to>
    <xdr:pic>
      <xdr:nvPicPr>
        <xdr:cNvPr id="1281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60007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WINDOWS\Profiles\Marcelo\Desktop\Documentos%20Marcelo\GERAL\serran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Excel\EXCEL\PCR-SEC.%20MUNICIPAL%20DE%20SA&#218;DE\orca-hosp%20ag%20magalh&#198;es%20elet-ambul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Meus%20documentos\Amir\CV160_05\Anexos\Meus%20documentos\download\MEUS%20DOCUMENTOS%20DE%20FRANCISCO%20NOVAES\MEUS%20DOCUMENTOS-OR&#199;AMENTOS\DBF%20-%20SECTMA-SEC.EDUC-ARARIPINA-CENTRO%20TECNOL&#211;GICO%20DE%20EDUCA&#199;&#195;O%20PROFISSIONAL%20DE%20ARARIPINA\ORCA\OR021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Documents%20and%20Settings\angel\Meus%20documentos\Carneiro\FORTIM;%20VARADOURO;%20%20ESTACION.%20VARAD.%20FIM\FORTIM%20MONUMENTA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e\drive_d%20(d)\Documents%20and%20Settings\angel\Meus%20documentos\Pasta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Meus%20documentos\download\MEUS%20DOCUMENTOS%20DE%20FRANCISCO%20NOVAES\MEUS%20DOCUMENTOS-OR&#199;AMENTOS\DBF%20-%20SECTMA-SEC.EDUC-ARARIPINA-CENTRO%20TECNOL&#211;GICO%20DE%20EDUCA&#199;&#195;O%20PROFISSIONAL%20DE%20ARARIPINA\ORCA\OR0212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SSERVER01\Documentos\Ger&#234;ncia%20de%20Projetos\UFRPE\44.003%20-%20Pr&#233;dio%20de%206%20pavimentos\CD%20-%20VERS&#195;O%20FINAL25-09-07\PR&#201;DIO%20DE%206%20PAVIMENTOS\OR&#199;AMENTOS\orca-elet-refinaria%20por%20blo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Excel\EXCEL\PCR-SEC.%20MUNICIPAL%20DE%20SA&#218;DE\hosp.%20ag%20magalh&#227;es%20-%20hidro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sacaseiro"/>
      <sheetName val="CHURRASQUEIRA"/>
      <sheetName val="DEPOSITOS"/>
      <sheetName val="Plan1"/>
      <sheetName val="Plan2"/>
      <sheetName val="Plan3"/>
      <sheetName val="QUIOSQUEmod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</sheetNames>
    <definedNames>
      <definedName name="PassaExtenso" refersTo="#REF!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5.8 (2)"/>
      <sheetName val="3.5 (2)"/>
      <sheetName val="8.10.1"/>
      <sheetName val="8.9.4"/>
      <sheetName val="8.9.3"/>
      <sheetName val="8.9.2"/>
      <sheetName val="8.9.1"/>
      <sheetName val="8.8.5"/>
      <sheetName val="8.8.4"/>
      <sheetName val="8.8.3"/>
      <sheetName val="8.8.2"/>
      <sheetName val="8.8.1"/>
      <sheetName val="8.7.12"/>
      <sheetName val="8.7.11"/>
      <sheetName val="8.7.10"/>
      <sheetName val="8.7.9"/>
      <sheetName val="8.7.8"/>
      <sheetName val="8.7.7"/>
      <sheetName val="8.7.6"/>
      <sheetName val="8.7.5"/>
      <sheetName val="8.7.4"/>
      <sheetName val="8.7.3"/>
      <sheetName val="8.7.2"/>
      <sheetName val="8.7.1"/>
      <sheetName val="8.6.5"/>
      <sheetName val="8.6.4"/>
      <sheetName val="8.6.3"/>
      <sheetName val="8.6.2"/>
      <sheetName val="8.6.1"/>
      <sheetName val="8.5.10"/>
      <sheetName val="8.5.9"/>
      <sheetName val="8.5.8"/>
      <sheetName val="8.5.7"/>
      <sheetName val="8.5.6"/>
      <sheetName val="8.5.5"/>
      <sheetName val="8.5.4"/>
      <sheetName val="8.5.3"/>
      <sheetName val="8.5.2"/>
      <sheetName val="8.5.1"/>
      <sheetName val="8.4.3"/>
      <sheetName val="8.4.2"/>
      <sheetName val="8.4.1"/>
      <sheetName val="8.3.1"/>
      <sheetName val="8.2.7"/>
      <sheetName val="8.2.6"/>
      <sheetName val="8.2.5"/>
      <sheetName val="8.2.4"/>
      <sheetName val="8.2.3"/>
      <sheetName val="8.2.2"/>
      <sheetName val="8.2.1"/>
      <sheetName val="8.1.2.2"/>
      <sheetName val="8.1.2.1"/>
      <sheetName val="8.1.1.6"/>
      <sheetName val="8.1.1.5"/>
      <sheetName val="8.1.1.4"/>
      <sheetName val="8.1.1.3"/>
      <sheetName val="8.1.1.2"/>
      <sheetName val="8.1.1.1"/>
      <sheetName val="7.5.7"/>
      <sheetName val="7.5.6 "/>
      <sheetName val="7.5.5 "/>
      <sheetName val="7.5.4 "/>
      <sheetName val="7.5.3 "/>
      <sheetName val="7.5.2 "/>
      <sheetName val="7.5.1"/>
      <sheetName val="7.4.7"/>
      <sheetName val="7.4.6"/>
      <sheetName val="7.4.5"/>
      <sheetName val="7.4.4"/>
      <sheetName val="7.4.3"/>
      <sheetName val="7.4.2"/>
      <sheetName val="7.4.1"/>
      <sheetName val="7.3"/>
      <sheetName val="7.2"/>
      <sheetName val="7.1"/>
      <sheetName val="6.16"/>
      <sheetName val="6.15"/>
      <sheetName val="6.14"/>
      <sheetName val="6.13"/>
      <sheetName val="6.12"/>
      <sheetName val="6.11"/>
      <sheetName val="6.10"/>
      <sheetName val="6.9"/>
      <sheetName val="6.8"/>
      <sheetName val="6.7"/>
      <sheetName val="6.6"/>
      <sheetName val="6.5"/>
      <sheetName val="6.4"/>
      <sheetName val="6.3"/>
      <sheetName val="6.2"/>
      <sheetName val="6.1"/>
      <sheetName val="5.15.8"/>
      <sheetName val="5.15.7"/>
      <sheetName val="5.15.6"/>
      <sheetName val="5.15.5"/>
      <sheetName val="5.15.4"/>
      <sheetName val="5.15.3"/>
      <sheetName val="5.15.2"/>
      <sheetName val="5.15.1"/>
      <sheetName val="5.14"/>
      <sheetName val="5.13"/>
      <sheetName val="5.12"/>
      <sheetName val="5.11"/>
      <sheetName val="5.10"/>
      <sheetName val="5.9.0"/>
      <sheetName val="5.8"/>
      <sheetName val="5.7"/>
      <sheetName val="5.6"/>
      <sheetName val="5.5"/>
      <sheetName val="5.4"/>
      <sheetName val="5.3"/>
      <sheetName val="5.2"/>
      <sheetName val="5.1"/>
      <sheetName val="4.21.4"/>
      <sheetName val="4.21.3"/>
      <sheetName val="4.21.2"/>
      <sheetName val="4.21.1"/>
      <sheetName val="4.20"/>
      <sheetName val="4.19"/>
      <sheetName val="4.18"/>
      <sheetName val="4.17"/>
      <sheetName val="4.16"/>
      <sheetName val="4.15"/>
      <sheetName val="4.14"/>
      <sheetName val="4.13"/>
      <sheetName val="4.12"/>
      <sheetName val="4.11"/>
      <sheetName val="4.10"/>
      <sheetName val="4.9"/>
      <sheetName val="4.8"/>
      <sheetName val="4.7"/>
      <sheetName val="4.6"/>
      <sheetName val="4.5"/>
      <sheetName val="4.4"/>
      <sheetName val="4.3"/>
      <sheetName val="4.2"/>
      <sheetName val="4.1"/>
      <sheetName val="3.7.5"/>
      <sheetName val="3.7.4"/>
      <sheetName val="3.7.3"/>
      <sheetName val="3.7.2"/>
      <sheetName val="3.7.1"/>
      <sheetName val="3.6"/>
      <sheetName val="3.5"/>
      <sheetName val="3.4"/>
      <sheetName val="3.3"/>
      <sheetName val="3.2"/>
      <sheetName val="3.1"/>
      <sheetName val="2.13"/>
      <sheetName val="2.12"/>
      <sheetName val="2.11 "/>
      <sheetName val="2.10"/>
      <sheetName val="2.9"/>
      <sheetName val="2.8"/>
      <sheetName val="2.7"/>
      <sheetName val="2.6"/>
      <sheetName val="2.5"/>
      <sheetName val="2.4"/>
      <sheetName val="2.3"/>
      <sheetName val="2.2"/>
      <sheetName val="2.1"/>
      <sheetName val="1.3"/>
      <sheetName val="1.2"/>
      <sheetName val="1.1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 completo"/>
      <sheetName val="Orcamento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</sheetNames>
    <definedNames>
      <definedName name="PassaExtenso" refersTo="#REF!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view="pageBreakPreview" zoomScale="85" zoomScaleSheetLayoutView="85" workbookViewId="0">
      <selection activeCell="F15" sqref="F15"/>
    </sheetView>
  </sheetViews>
  <sheetFormatPr defaultRowHeight="12.75"/>
  <cols>
    <col min="1" max="1" width="9.140625" style="1" customWidth="1"/>
    <col min="2" max="2" width="13.85546875" style="2" customWidth="1"/>
    <col min="3" max="3" width="16.140625" style="3" customWidth="1"/>
    <col min="4" max="4" width="57.28515625" style="4" customWidth="1"/>
    <col min="5" max="5" width="9.140625" style="2" customWidth="1"/>
    <col min="6" max="6" width="17.42578125" style="5" customWidth="1"/>
    <col min="7" max="7" width="17.28515625" style="6" customWidth="1"/>
    <col min="8" max="8" width="11.85546875" style="7" customWidth="1"/>
    <col min="9" max="9" width="12.42578125" style="7" customWidth="1"/>
    <col min="10" max="10" width="10.140625" style="7" customWidth="1"/>
    <col min="11" max="11" width="9.85546875" style="7" customWidth="1"/>
    <col min="12" max="13" width="9.140625" style="1" customWidth="1"/>
    <col min="14" max="15" width="11.5703125" style="1" customWidth="1"/>
    <col min="16" max="18" width="9.140625" style="1" customWidth="1"/>
    <col min="19" max="19" width="12.42578125" style="1" customWidth="1"/>
    <col min="20" max="21" width="9.140625" style="1" customWidth="1"/>
    <col min="22" max="22" width="12.42578125" style="1" customWidth="1"/>
    <col min="23" max="16384" width="9.140625" style="1"/>
  </cols>
  <sheetData>
    <row r="1" spans="1:11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11">
      <c r="A2" s="10" t="s">
        <v>6</v>
      </c>
      <c r="B2" s="11"/>
      <c r="C2" s="12"/>
      <c r="D2" s="13" t="s">
        <v>7</v>
      </c>
      <c r="E2" s="14"/>
      <c r="F2" s="12"/>
    </row>
    <row r="3" spans="1:11" s="22" customFormat="1">
      <c r="A3" s="15" t="s">
        <v>8</v>
      </c>
      <c r="B3" s="16" t="s">
        <v>9</v>
      </c>
      <c r="C3" s="17" t="s">
        <v>10</v>
      </c>
      <c r="D3" s="18" t="str">
        <f>'ANEXO XVI- COMP. DE CUSTO UNIT.'!C8</f>
        <v xml:space="preserve">ADMINISTRAÇÃO LOCAL DA OBRA </v>
      </c>
      <c r="E3" s="17" t="str">
        <f>'ANEXO XVI- COMP. DE CUSTO UNIT.'!D8</f>
        <v>MÊS</v>
      </c>
      <c r="F3" s="19">
        <f>'ANEXO XVI- COMP. DE CUSTO UNIT.'!F8</f>
        <v>12543.207884057971</v>
      </c>
      <c r="G3" s="20"/>
      <c r="H3" s="21"/>
      <c r="I3" s="21"/>
      <c r="J3" s="21"/>
      <c r="K3" s="21"/>
    </row>
    <row r="4" spans="1:11" s="22" customFormat="1">
      <c r="A4" s="10" t="s">
        <v>11</v>
      </c>
      <c r="B4" s="11"/>
      <c r="C4" s="12"/>
      <c r="D4" s="13" t="s">
        <v>12</v>
      </c>
      <c r="E4" s="14"/>
      <c r="F4" s="12"/>
      <c r="G4" s="20"/>
      <c r="H4" s="21"/>
      <c r="I4" s="21"/>
      <c r="J4" s="21"/>
      <c r="K4" s="21"/>
    </row>
    <row r="5" spans="1:11" s="31" customFormat="1" ht="25.5">
      <c r="A5" s="23" t="s">
        <v>13</v>
      </c>
      <c r="B5" s="24" t="s">
        <v>14</v>
      </c>
      <c r="C5" s="25" t="s">
        <v>15</v>
      </c>
      <c r="D5" s="26" t="s">
        <v>16</v>
      </c>
      <c r="E5" s="27" t="s">
        <v>17</v>
      </c>
      <c r="F5" s="28">
        <v>41.09</v>
      </c>
      <c r="G5" s="29"/>
      <c r="H5" s="30"/>
      <c r="I5" s="30"/>
      <c r="J5" s="30"/>
      <c r="K5" s="30"/>
    </row>
    <row r="6" spans="1:11" s="35" customFormat="1" ht="25.5">
      <c r="A6" s="23" t="s">
        <v>18</v>
      </c>
      <c r="B6" s="24" t="s">
        <v>14</v>
      </c>
      <c r="C6" s="25" t="s">
        <v>19</v>
      </c>
      <c r="D6" s="32" t="s">
        <v>20</v>
      </c>
      <c r="E6" s="27" t="s">
        <v>17</v>
      </c>
      <c r="F6" s="28">
        <v>2.8</v>
      </c>
      <c r="G6" s="33"/>
      <c r="H6" s="34"/>
      <c r="I6" s="34"/>
      <c r="J6" s="34"/>
      <c r="K6" s="34"/>
    </row>
    <row r="7" spans="1:11" s="31" customFormat="1" ht="38.25">
      <c r="A7" s="23" t="s">
        <v>21</v>
      </c>
      <c r="B7" s="24" t="s">
        <v>14</v>
      </c>
      <c r="C7" s="25" t="s">
        <v>22</v>
      </c>
      <c r="D7" s="26" t="s">
        <v>23</v>
      </c>
      <c r="E7" s="27" t="s">
        <v>17</v>
      </c>
      <c r="F7" s="28">
        <v>280.85000000000002</v>
      </c>
      <c r="G7" s="29"/>
      <c r="H7" s="30"/>
      <c r="I7" s="30"/>
      <c r="J7" s="30"/>
      <c r="K7" s="30"/>
    </row>
    <row r="8" spans="1:11" s="31" customFormat="1" ht="51">
      <c r="A8" s="23" t="s">
        <v>24</v>
      </c>
      <c r="B8" s="24" t="s">
        <v>14</v>
      </c>
      <c r="C8" s="25" t="s">
        <v>25</v>
      </c>
      <c r="D8" s="26" t="s">
        <v>26</v>
      </c>
      <c r="E8" s="27" t="s">
        <v>17</v>
      </c>
      <c r="F8" s="28">
        <v>257.13</v>
      </c>
      <c r="G8" s="29"/>
      <c r="H8" s="30"/>
      <c r="I8" s="30"/>
      <c r="J8" s="30"/>
      <c r="K8" s="30"/>
    </row>
    <row r="9" spans="1:11" s="31" customFormat="1" ht="76.5">
      <c r="A9" s="23" t="s">
        <v>27</v>
      </c>
      <c r="B9" s="24" t="s">
        <v>14</v>
      </c>
      <c r="C9" s="25" t="s">
        <v>28</v>
      </c>
      <c r="D9" s="26" t="s">
        <v>29</v>
      </c>
      <c r="E9" s="36" t="s">
        <v>30</v>
      </c>
      <c r="F9" s="28">
        <v>3279.39</v>
      </c>
      <c r="G9" s="29"/>
      <c r="H9" s="30"/>
      <c r="I9" s="30"/>
      <c r="J9" s="30"/>
      <c r="K9" s="30"/>
    </row>
    <row r="10" spans="1:11" s="31" customFormat="1" ht="38.25">
      <c r="A10" s="23" t="s">
        <v>31</v>
      </c>
      <c r="B10" s="24" t="s">
        <v>14</v>
      </c>
      <c r="C10" s="25" t="s">
        <v>32</v>
      </c>
      <c r="D10" s="26" t="s">
        <v>33</v>
      </c>
      <c r="E10" s="36" t="s">
        <v>30</v>
      </c>
      <c r="F10" s="28">
        <v>1354.62</v>
      </c>
      <c r="G10" s="29"/>
      <c r="H10" s="30"/>
      <c r="I10" s="30"/>
      <c r="J10" s="30"/>
      <c r="K10" s="30"/>
    </row>
    <row r="11" spans="1:11" s="31" customFormat="1" ht="76.5">
      <c r="A11" s="23" t="s">
        <v>34</v>
      </c>
      <c r="B11" s="24" t="s">
        <v>9</v>
      </c>
      <c r="C11" s="25" t="s">
        <v>35</v>
      </c>
      <c r="D11" s="26" t="str">
        <f>'ANEXO XVI- COMP. DE CUSTO UNIT.'!C22</f>
        <v>LIGAÇÃO DOMICILIAR DE ÁGUA, DA REDE AO HIDRÔMETRO, COMPOSTO POR COLAR DE TOMADA DE PVC COM TRAVAS DE 50MMX1/2, ADAPTADOR PVC SOLDÁVEL/ROSCA 20MMX1/2, TUBO PVC SOLDÁVEL ÁGUA FRIA 20MM E REGISTRO DE PVC ESFERA ROSCÁVEL 1/2 - FORNECIMENTO E INSTALAÇÃO</v>
      </c>
      <c r="E11" s="36" t="s">
        <v>30</v>
      </c>
      <c r="F11" s="28">
        <f>'ANEXO XVI- COMP. DE CUSTO UNIT.'!G46</f>
        <v>897.07</v>
      </c>
      <c r="G11" s="29"/>
      <c r="H11" s="30"/>
      <c r="I11" s="30"/>
      <c r="J11" s="30"/>
      <c r="K11" s="30"/>
    </row>
    <row r="12" spans="1:11" s="31" customFormat="1" ht="76.5">
      <c r="A12" s="23" t="s">
        <v>36</v>
      </c>
      <c r="B12" s="24" t="s">
        <v>14</v>
      </c>
      <c r="C12" s="25" t="s">
        <v>37</v>
      </c>
      <c r="D12" s="26" t="s">
        <v>38</v>
      </c>
      <c r="E12" s="36" t="s">
        <v>30</v>
      </c>
      <c r="F12" s="28">
        <v>792.91</v>
      </c>
      <c r="G12" s="29"/>
      <c r="H12" s="30"/>
      <c r="I12" s="30"/>
      <c r="J12" s="30"/>
      <c r="K12" s="30"/>
    </row>
    <row r="13" spans="1:11" s="31" customFormat="1" ht="25.5">
      <c r="A13" s="23" t="s">
        <v>39</v>
      </c>
      <c r="B13" s="24" t="s">
        <v>14</v>
      </c>
      <c r="C13" s="25" t="s">
        <v>40</v>
      </c>
      <c r="D13" s="26" t="s">
        <v>41</v>
      </c>
      <c r="E13" s="27" t="s">
        <v>17</v>
      </c>
      <c r="F13" s="28">
        <v>332.85</v>
      </c>
      <c r="G13" s="29"/>
      <c r="H13" s="30"/>
      <c r="I13" s="30"/>
      <c r="J13" s="30"/>
      <c r="K13" s="30"/>
    </row>
    <row r="14" spans="1:11" s="31" customFormat="1" ht="25.5">
      <c r="A14" s="23" t="s">
        <v>42</v>
      </c>
      <c r="B14" s="24" t="s">
        <v>14</v>
      </c>
      <c r="C14" s="37" t="s">
        <v>15</v>
      </c>
      <c r="D14" s="38" t="s">
        <v>16</v>
      </c>
      <c r="E14" s="39" t="s">
        <v>17</v>
      </c>
      <c r="F14" s="40">
        <v>41.09</v>
      </c>
      <c r="G14" s="29"/>
      <c r="H14" s="30"/>
      <c r="I14" s="30"/>
      <c r="J14" s="30"/>
      <c r="K14" s="30"/>
    </row>
    <row r="15" spans="1:11" s="31" customFormat="1" ht="25.5">
      <c r="A15" s="23" t="s">
        <v>43</v>
      </c>
      <c r="B15" s="24" t="s">
        <v>14</v>
      </c>
      <c r="C15" s="41" t="s">
        <v>19</v>
      </c>
      <c r="D15" s="18" t="s">
        <v>20</v>
      </c>
      <c r="E15" s="42" t="s">
        <v>17</v>
      </c>
      <c r="F15" s="40">
        <v>2.8</v>
      </c>
      <c r="G15" s="29"/>
      <c r="H15" s="30"/>
      <c r="I15" s="30"/>
      <c r="J15" s="30"/>
      <c r="K15" s="30"/>
    </row>
    <row r="16" spans="1:11" s="31" customFormat="1">
      <c r="A16" s="10" t="s">
        <v>44</v>
      </c>
      <c r="B16" s="11"/>
      <c r="C16" s="12"/>
      <c r="D16" s="13" t="s">
        <v>45</v>
      </c>
      <c r="E16" s="14"/>
      <c r="F16" s="12"/>
      <c r="G16" s="29"/>
      <c r="H16" s="30"/>
      <c r="I16" s="30"/>
      <c r="J16" s="30"/>
      <c r="K16" s="30"/>
    </row>
    <row r="17" spans="1:11" s="45" customFormat="1" ht="25.5">
      <c r="A17" s="23" t="s">
        <v>46</v>
      </c>
      <c r="B17" s="24" t="s">
        <v>9</v>
      </c>
      <c r="C17" s="25" t="s">
        <v>47</v>
      </c>
      <c r="D17" s="26" t="str">
        <f>'ANEXO XVI- COMP. DE CUSTO UNIT.'!C48</f>
        <v>DEMOLIÇÃO DE PISO CIMENTADO, INCLUSIVE LASTRO DE CONCRETO</v>
      </c>
      <c r="E17" s="27" t="s">
        <v>17</v>
      </c>
      <c r="F17" s="28">
        <f>'ANEXO XVI- COMP. DE CUSTO UNIT.'!F48</f>
        <v>16.799999999999997</v>
      </c>
      <c r="G17" s="43"/>
      <c r="H17" s="44"/>
      <c r="I17" s="44"/>
      <c r="J17" s="44"/>
      <c r="K17" s="44"/>
    </row>
    <row r="18" spans="1:11" s="45" customFormat="1">
      <c r="A18" s="10" t="s">
        <v>48</v>
      </c>
      <c r="B18" s="11"/>
      <c r="C18" s="12"/>
      <c r="D18" s="13" t="s">
        <v>49</v>
      </c>
      <c r="E18" s="14"/>
      <c r="F18" s="12"/>
      <c r="G18" s="43"/>
      <c r="H18" s="44"/>
      <c r="I18" s="44"/>
      <c r="J18" s="44"/>
      <c r="K18" s="44"/>
    </row>
    <row r="19" spans="1:11" s="45" customFormat="1" ht="25.5">
      <c r="A19" s="23" t="s">
        <v>50</v>
      </c>
      <c r="B19" s="46" t="s">
        <v>14</v>
      </c>
      <c r="C19" s="25" t="s">
        <v>51</v>
      </c>
      <c r="D19" s="47" t="s">
        <v>52</v>
      </c>
      <c r="E19" s="27" t="s">
        <v>53</v>
      </c>
      <c r="F19" s="28">
        <v>22.4</v>
      </c>
      <c r="G19" s="43"/>
      <c r="H19" s="44"/>
      <c r="I19" s="44"/>
      <c r="J19" s="44"/>
      <c r="K19" s="44"/>
    </row>
    <row r="20" spans="1:11" s="45" customFormat="1" ht="25.5">
      <c r="A20" s="23" t="s">
        <v>54</v>
      </c>
      <c r="B20" s="46" t="s">
        <v>14</v>
      </c>
      <c r="C20" s="25" t="s">
        <v>55</v>
      </c>
      <c r="D20" s="47" t="s">
        <v>56</v>
      </c>
      <c r="E20" s="27" t="s">
        <v>53</v>
      </c>
      <c r="F20" s="28">
        <v>35.840000000000003</v>
      </c>
      <c r="G20" s="43"/>
      <c r="H20" s="44"/>
      <c r="I20" s="44"/>
      <c r="J20" s="44"/>
      <c r="K20" s="44"/>
    </row>
    <row r="21" spans="1:11" s="45" customFormat="1" ht="25.5">
      <c r="A21" s="23" t="s">
        <v>57</v>
      </c>
      <c r="B21" s="46" t="s">
        <v>14</v>
      </c>
      <c r="C21" s="25" t="s">
        <v>58</v>
      </c>
      <c r="D21" s="47" t="s">
        <v>59</v>
      </c>
      <c r="E21" s="27" t="s">
        <v>53</v>
      </c>
      <c r="F21" s="28">
        <v>23.52</v>
      </c>
      <c r="G21" s="43"/>
      <c r="H21" s="44"/>
      <c r="I21" s="44"/>
      <c r="J21" s="44"/>
      <c r="K21" s="44"/>
    </row>
    <row r="22" spans="1:11" s="45" customFormat="1">
      <c r="A22" s="10" t="s">
        <v>60</v>
      </c>
      <c r="B22" s="11"/>
      <c r="C22" s="12"/>
      <c r="D22" s="13" t="s">
        <v>61</v>
      </c>
      <c r="E22" s="14"/>
      <c r="F22" s="12"/>
      <c r="G22" s="43"/>
      <c r="H22" s="44"/>
      <c r="I22" s="44"/>
      <c r="J22" s="44"/>
      <c r="K22" s="44"/>
    </row>
    <row r="23" spans="1:11" s="35" customFormat="1" ht="25.5">
      <c r="A23" s="23" t="s">
        <v>62</v>
      </c>
      <c r="B23" s="46" t="s">
        <v>14</v>
      </c>
      <c r="C23" s="25" t="s">
        <v>63</v>
      </c>
      <c r="D23" s="32" t="s">
        <v>64</v>
      </c>
      <c r="E23" s="27" t="s">
        <v>53</v>
      </c>
      <c r="F23" s="28">
        <v>26.88</v>
      </c>
      <c r="G23" s="33"/>
      <c r="H23" s="34"/>
      <c r="I23" s="34"/>
      <c r="J23" s="34"/>
      <c r="K23" s="34"/>
    </row>
    <row r="24" spans="1:11" ht="25.5">
      <c r="A24" s="23" t="s">
        <v>65</v>
      </c>
      <c r="B24" s="46" t="s">
        <v>14</v>
      </c>
      <c r="C24" s="25" t="s">
        <v>66</v>
      </c>
      <c r="D24" s="32" t="s">
        <v>67</v>
      </c>
      <c r="E24" s="27" t="s">
        <v>53</v>
      </c>
      <c r="F24" s="28">
        <v>14.75</v>
      </c>
    </row>
    <row r="25" spans="1:11" ht="25.5">
      <c r="A25" s="23" t="s">
        <v>68</v>
      </c>
      <c r="B25" s="46" t="s">
        <v>14</v>
      </c>
      <c r="C25" s="25">
        <v>72897</v>
      </c>
      <c r="D25" s="32" t="s">
        <v>69</v>
      </c>
      <c r="E25" s="27" t="s">
        <v>53</v>
      </c>
      <c r="F25" s="28">
        <v>17.88</v>
      </c>
    </row>
    <row r="26" spans="1:11" ht="25.5">
      <c r="A26" s="23" t="s">
        <v>70</v>
      </c>
      <c r="B26" s="46" t="s">
        <v>14</v>
      </c>
      <c r="C26" s="25">
        <v>72843</v>
      </c>
      <c r="D26" s="32" t="s">
        <v>71</v>
      </c>
      <c r="E26" s="48" t="s">
        <v>72</v>
      </c>
      <c r="F26" s="28">
        <v>0.61</v>
      </c>
      <c r="G26" s="49" t="s">
        <v>73</v>
      </c>
      <c r="H26" s="49" t="s">
        <v>74</v>
      </c>
      <c r="I26" s="49" t="s">
        <v>75</v>
      </c>
    </row>
    <row r="27" spans="1:11" ht="38.25">
      <c r="A27" s="23" t="s">
        <v>76</v>
      </c>
      <c r="B27" s="50" t="s">
        <v>9</v>
      </c>
      <c r="C27" s="25" t="s">
        <v>77</v>
      </c>
      <c r="D27" s="32" t="s">
        <v>78</v>
      </c>
      <c r="E27" s="27" t="s">
        <v>79</v>
      </c>
      <c r="F27" s="28">
        <f>AVERAGE(G27:I27)</f>
        <v>55.666666666666664</v>
      </c>
      <c r="G27" s="28">
        <v>67</v>
      </c>
      <c r="H27" s="28">
        <v>40</v>
      </c>
      <c r="I27" s="28">
        <v>60</v>
      </c>
    </row>
    <row r="28" spans="1:11" ht="25.5">
      <c r="A28" s="23" t="s">
        <v>80</v>
      </c>
      <c r="B28" s="50" t="s">
        <v>9</v>
      </c>
      <c r="C28" s="25" t="s">
        <v>81</v>
      </c>
      <c r="D28" s="32" t="s">
        <v>82</v>
      </c>
      <c r="E28" s="27" t="s">
        <v>79</v>
      </c>
      <c r="F28" s="28">
        <f>AVERAGE(G28:I28)</f>
        <v>53.333333333333336</v>
      </c>
      <c r="G28" s="28">
        <v>55</v>
      </c>
      <c r="H28" s="28">
        <v>45</v>
      </c>
      <c r="I28" s="28">
        <v>60</v>
      </c>
    </row>
    <row r="29" spans="1:11">
      <c r="A29" s="10" t="s">
        <v>83</v>
      </c>
      <c r="B29" s="11"/>
      <c r="C29" s="12"/>
      <c r="D29" s="13" t="s">
        <v>61</v>
      </c>
      <c r="E29" s="14"/>
      <c r="F29" s="12"/>
    </row>
    <row r="30" spans="1:11">
      <c r="A30" s="10" t="s">
        <v>84</v>
      </c>
      <c r="B30" s="11"/>
      <c r="C30" s="12"/>
      <c r="D30" s="13" t="s">
        <v>85</v>
      </c>
      <c r="E30" s="14"/>
      <c r="F30" s="12"/>
    </row>
    <row r="31" spans="1:11" ht="25.5">
      <c r="A31" s="23" t="s">
        <v>86</v>
      </c>
      <c r="B31" s="46" t="s">
        <v>14</v>
      </c>
      <c r="C31" s="25">
        <v>6042</v>
      </c>
      <c r="D31" s="32" t="s">
        <v>87</v>
      </c>
      <c r="E31" s="27" t="s">
        <v>53</v>
      </c>
      <c r="F31" s="28">
        <v>251.72</v>
      </c>
    </row>
    <row r="32" spans="1:11" ht="25.5">
      <c r="A32" s="23" t="s">
        <v>88</v>
      </c>
      <c r="B32" s="46" t="s">
        <v>14</v>
      </c>
      <c r="C32" s="25">
        <v>92874</v>
      </c>
      <c r="D32" s="32" t="s">
        <v>89</v>
      </c>
      <c r="E32" s="27" t="s">
        <v>53</v>
      </c>
      <c r="F32" s="28">
        <v>19.190000000000001</v>
      </c>
    </row>
    <row r="33" spans="1:11" s="35" customFormat="1" ht="25.5">
      <c r="A33" s="23" t="s">
        <v>90</v>
      </c>
      <c r="B33" s="46" t="s">
        <v>14</v>
      </c>
      <c r="C33" s="25">
        <v>5651</v>
      </c>
      <c r="D33" s="47" t="s">
        <v>91</v>
      </c>
      <c r="E33" s="27" t="s">
        <v>17</v>
      </c>
      <c r="F33" s="28">
        <v>23.33</v>
      </c>
      <c r="G33" s="33"/>
      <c r="H33" s="34"/>
      <c r="I33" s="34"/>
      <c r="J33" s="34"/>
      <c r="K33" s="34"/>
    </row>
    <row r="34" spans="1:11" s="35" customFormat="1" ht="25.5">
      <c r="A34" s="23" t="s">
        <v>92</v>
      </c>
      <c r="B34" s="50" t="s">
        <v>9</v>
      </c>
      <c r="C34" s="25" t="s">
        <v>93</v>
      </c>
      <c r="D34" s="32" t="s">
        <v>94</v>
      </c>
      <c r="E34" s="27" t="s">
        <v>53</v>
      </c>
      <c r="F34" s="28">
        <v>382.27449999999999</v>
      </c>
      <c r="G34" s="33"/>
      <c r="H34" s="34"/>
      <c r="I34" s="34"/>
      <c r="J34" s="34"/>
      <c r="K34" s="34"/>
    </row>
    <row r="35" spans="1:11" s="35" customFormat="1">
      <c r="A35" s="10" t="s">
        <v>95</v>
      </c>
      <c r="B35" s="11"/>
      <c r="C35" s="12"/>
      <c r="D35" s="13" t="s">
        <v>96</v>
      </c>
      <c r="E35" s="14"/>
      <c r="F35" s="12"/>
      <c r="G35" s="33"/>
      <c r="H35" s="34"/>
      <c r="I35" s="34"/>
      <c r="J35" s="34"/>
      <c r="K35" s="34"/>
    </row>
    <row r="36" spans="1:11" s="53" customFormat="1" ht="25.5">
      <c r="A36" s="23" t="s">
        <v>97</v>
      </c>
      <c r="B36" s="50" t="s">
        <v>9</v>
      </c>
      <c r="C36" s="25" t="str">
        <f>'ANEXO XVI- COMP. DE CUSTO UNIT.'!B70</f>
        <v>CPU 6.001</v>
      </c>
      <c r="D36" s="26" t="str">
        <f>'ANEXO XVI- COMP. DE CUSTO UNIT.'!C70</f>
        <v>FABRICAÇÃO DE FÔRMA PARA ESTRUTURAS, EM CHAPA DE MADEIRA COMPENSADA PLASTIFICADA, E = 12 MM.</v>
      </c>
      <c r="E36" s="36" t="str">
        <f>'ANEXO XVI- COMP. DE CUSTO UNIT.'!D70</f>
        <v>M2</v>
      </c>
      <c r="F36" s="28">
        <f>'ANEXO XVI- COMP. DE CUSTO UNIT.'!F70</f>
        <v>60.880869999999987</v>
      </c>
      <c r="G36" s="51"/>
      <c r="H36" s="52"/>
      <c r="I36" s="52"/>
      <c r="J36" s="52"/>
      <c r="K36" s="52"/>
    </row>
    <row r="37" spans="1:11" s="53" customFormat="1" ht="38.25">
      <c r="A37" s="23" t="s">
        <v>98</v>
      </c>
      <c r="B37" s="50" t="s">
        <v>9</v>
      </c>
      <c r="C37" s="25" t="str">
        <f>'ANEXO XVI- COMP. DE CUSTO UNIT.'!B95</f>
        <v>CPU 6.002</v>
      </c>
      <c r="D37" s="26" t="str">
        <f>'ANEXO XVI- COMP. DE CUSTO UNIT.'!C95</f>
        <v>MONTAGEM E DESMONTAGEM DE FÔRMA EM ESTRUTURAS, EM CHAPA DE MADEIRA COMPENSADA PLASTIFICADA, 4 UTILIZAÇÕES.</v>
      </c>
      <c r="E37" s="36" t="str">
        <f>'ANEXO XVI- COMP. DE CUSTO UNIT.'!D95</f>
        <v>M2</v>
      </c>
      <c r="F37" s="28">
        <f>'ANEXO XVI- COMP. DE CUSTO UNIT.'!F95</f>
        <v>27.497700000000002</v>
      </c>
      <c r="G37" s="51"/>
      <c r="H37" s="52"/>
      <c r="I37" s="52"/>
      <c r="J37" s="52"/>
      <c r="K37" s="52"/>
    </row>
    <row r="38" spans="1:11" s="53" customFormat="1" ht="38.25">
      <c r="A38" s="23" t="s">
        <v>99</v>
      </c>
      <c r="B38" s="50" t="s">
        <v>9</v>
      </c>
      <c r="C38" s="25" t="str">
        <f>'ANEXO XVI- COMP. DE CUSTO UNIT.'!B121</f>
        <v>CPU 6.003</v>
      </c>
      <c r="D38" s="26" t="str">
        <f>'ANEXO XVI- COMP. DE CUSTO UNIT.'!C121</f>
        <v>ARMAÇÃO EM UMA ESTRUTURA CONVENCIONAL DE CONCRETO ARMADO UTILIZANDO AÇO CA-50 DE 6.3 MM - AQUISIÇÃO / CORTE / DOBRA / MONTAGEM.</v>
      </c>
      <c r="E38" s="54" t="str">
        <f>'ANEXO XVI- COMP. DE CUSTO UNIT.'!D121</f>
        <v>KG</v>
      </c>
      <c r="F38" s="28">
        <f>'ANEXO XVI- COMP. DE CUSTO UNIT.'!F121</f>
        <v>10.152878000000001</v>
      </c>
      <c r="G38" s="51"/>
      <c r="H38" s="52"/>
      <c r="I38" s="52"/>
      <c r="J38" s="52"/>
      <c r="K38" s="52"/>
    </row>
    <row r="39" spans="1:11" s="53" customFormat="1" ht="38.25">
      <c r="A39" s="23" t="s">
        <v>100</v>
      </c>
      <c r="B39" s="50" t="s">
        <v>9</v>
      </c>
      <c r="C39" s="25" t="str">
        <f>'ANEXO XVI- COMP. DE CUSTO UNIT.'!B145</f>
        <v>CPU 6.004</v>
      </c>
      <c r="D39" s="26" t="str">
        <f>'ANEXO XVI- COMP. DE CUSTO UNIT.'!C145</f>
        <v>ARMAÇÃO EM UMA ESTRUTURA CONVENCIONAL DE CONCRETO ARMADO UTILIZANDO AÇO CA-50 DE 10.0 MM - AQUISIÇÃO / CORTE / DOBRA / MONTAGEM.</v>
      </c>
      <c r="E39" s="36" t="str">
        <f>'ANEXO XVI- COMP. DE CUSTO UNIT.'!D145</f>
        <v>KG</v>
      </c>
      <c r="F39" s="28">
        <f>'ANEXO XVI- COMP. DE CUSTO UNIT.'!F145</f>
        <v>9.2028780000000001</v>
      </c>
      <c r="G39" s="51"/>
      <c r="H39" s="52"/>
      <c r="I39" s="52"/>
      <c r="J39" s="52"/>
      <c r="K39" s="52"/>
    </row>
    <row r="40" spans="1:11" s="53" customFormat="1" ht="38.25">
      <c r="A40" s="23" t="s">
        <v>101</v>
      </c>
      <c r="B40" s="50" t="s">
        <v>9</v>
      </c>
      <c r="C40" s="25" t="str">
        <f>'ANEXO XVI- COMP. DE CUSTO UNIT.'!B169</f>
        <v>CPU 6.005</v>
      </c>
      <c r="D40" s="26" t="str">
        <f>'ANEXO XVI- COMP. DE CUSTO UNIT.'!C169</f>
        <v>ARMAÇÃO EM UMA ESTRUTURA CONVENCIONAL DE CONCRETO ARMADO UTILIZANDO AÇO CA-50 DE 12.5 MM - AQUISIÇÃO / CORTE / DOBRA / MONTAGEM.</v>
      </c>
      <c r="E40" s="36" t="str">
        <f>'ANEXO XVI- COMP. DE CUSTO UNIT.'!D169</f>
        <v>KG</v>
      </c>
      <c r="F40" s="28">
        <f>'ANEXO XVI- COMP. DE CUSTO UNIT.'!F169</f>
        <v>8.3628780000000003</v>
      </c>
      <c r="G40" s="51"/>
      <c r="H40" s="52"/>
      <c r="I40" s="52"/>
      <c r="J40" s="52"/>
      <c r="K40" s="52"/>
    </row>
    <row r="41" spans="1:11" ht="38.25">
      <c r="A41" s="23" t="s">
        <v>102</v>
      </c>
      <c r="B41" s="50" t="s">
        <v>9</v>
      </c>
      <c r="C41" s="25" t="str">
        <f>'ANEXO XVI- COMP. DE CUSTO UNIT.'!B193</f>
        <v>CPU 6.006</v>
      </c>
      <c r="D41" s="32" t="str">
        <f>'ANEXO XVI- COMP. DE CUSTO UNIT.'!C193</f>
        <v>ARMAÇÃO EM UMA ESTRUTURA CONVENCIONAL DE CONCRETO ARMADO UTILIZANDO AÇO CA-60 DE 5.0 MM - AQUISIÇÃO / CORTE / DOBRA / MONTAGEM.</v>
      </c>
      <c r="E41" s="36" t="str">
        <f>'ANEXO XVI- COMP. DE CUSTO UNIT.'!D193</f>
        <v>KG</v>
      </c>
      <c r="F41" s="28">
        <f>'ANEXO XVI- COMP. DE CUSTO UNIT.'!F193</f>
        <v>8.5664759999999998</v>
      </c>
    </row>
    <row r="42" spans="1:11" ht="25.5">
      <c r="A42" s="23" t="s">
        <v>103</v>
      </c>
      <c r="B42" s="50" t="s">
        <v>9</v>
      </c>
      <c r="C42" s="25" t="str">
        <f>'ANEXO XVI- COMP. DE CUSTO UNIT.'!B217</f>
        <v>CPU 6.007</v>
      </c>
      <c r="D42" s="32" t="str">
        <f>'ANEXO XVI- COMP. DE CUSTO UNIT.'!C217</f>
        <v>CONCRETO USINADO BOMBEÁVEL FCK=30MPA, INCLUSIVE LANCAMENTO E ADENSAMENTO</v>
      </c>
      <c r="E42" s="27" t="s">
        <v>53</v>
      </c>
      <c r="F42" s="28">
        <f>'ANEXO XVI- COMP. DE CUSTO UNIT.'!F217</f>
        <v>382.27449999999999</v>
      </c>
    </row>
    <row r="43" spans="1:11">
      <c r="A43" s="10" t="s">
        <v>104</v>
      </c>
      <c r="B43" s="11"/>
      <c r="C43" s="12"/>
      <c r="D43" s="13" t="s">
        <v>105</v>
      </c>
      <c r="E43" s="14"/>
      <c r="F43" s="12"/>
    </row>
    <row r="44" spans="1:11" s="45" customFormat="1" ht="38.25">
      <c r="A44" s="23" t="s">
        <v>106</v>
      </c>
      <c r="B44" s="46" t="s">
        <v>9</v>
      </c>
      <c r="C44" s="25" t="s">
        <v>107</v>
      </c>
      <c r="D44" s="32" t="str">
        <f>'ANEXO XVI- COMP. DE CUSTO UNIT.'!C242</f>
        <v>PISO INTETRAVADO COM 0,10X0,20X0,08 M NATURAL, ASSENTADA SOBRE COLCHÃO DE AREIA, INCLUSIVE REGULARIZAÇÃO MANUAL DO TERRENO</v>
      </c>
      <c r="E44" s="27" t="s">
        <v>17</v>
      </c>
      <c r="F44" s="28">
        <f>'ANEXO XVI- COMP. DE CUSTO UNIT.'!G268</f>
        <v>54.335999999999991</v>
      </c>
      <c r="G44" s="43"/>
      <c r="H44" s="44"/>
      <c r="I44" s="44"/>
      <c r="J44" s="44"/>
      <c r="K44" s="44"/>
    </row>
    <row r="45" spans="1:11" s="45" customFormat="1" ht="38.25">
      <c r="A45" s="23" t="s">
        <v>108</v>
      </c>
      <c r="B45" s="46" t="s">
        <v>9</v>
      </c>
      <c r="C45" s="25" t="s">
        <v>109</v>
      </c>
      <c r="D45" s="32" t="str">
        <f>'ANEXO XVI- COMP. DE CUSTO UNIT.'!C271</f>
        <v>PISO INTETRAVADO COM 0,10X0,20X0,08 M GRAFITE, ASSENTADA SOBRE COLCHÃO DE AREIA, INCLUSIVE REGULARIZAÇÃO MANUAL DO TERRENO</v>
      </c>
      <c r="E45" s="27" t="s">
        <v>17</v>
      </c>
      <c r="F45" s="28">
        <f>'ANEXO XVI- COMP. DE CUSTO UNIT.'!F271</f>
        <v>63.545999999999992</v>
      </c>
      <c r="G45" s="43"/>
      <c r="H45" s="44"/>
      <c r="I45" s="44"/>
      <c r="J45" s="44"/>
      <c r="K45" s="44"/>
    </row>
    <row r="46" spans="1:11" s="45" customFormat="1" ht="38.25">
      <c r="A46" s="23" t="s">
        <v>110</v>
      </c>
      <c r="B46" s="46" t="s">
        <v>9</v>
      </c>
      <c r="C46" s="25" t="s">
        <v>111</v>
      </c>
      <c r="D46" s="32" t="str">
        <f>'ANEXO XVI- COMP. DE CUSTO UNIT.'!C300</f>
        <v>PEÇA DE ARREMATE EM CONCRETO MOLDADO NO LOCAL, DIM. (0,10X0,50X0,20)M, REJUNTADO EM ARGAMASSA NO TRACO 1:3,5 (CIMENTO E AREIA)</v>
      </c>
      <c r="E46" s="36" t="s">
        <v>112</v>
      </c>
      <c r="F46" s="28">
        <f>'ANEXO XVI- COMP. DE CUSTO UNIT.'!F300</f>
        <v>90.380149999999986</v>
      </c>
      <c r="G46" s="43"/>
      <c r="H46" s="44"/>
      <c r="I46" s="44"/>
      <c r="J46" s="44"/>
      <c r="K46" s="44"/>
    </row>
    <row r="47" spans="1:11">
      <c r="A47" s="10" t="s">
        <v>113</v>
      </c>
      <c r="B47" s="11"/>
      <c r="C47" s="12"/>
      <c r="D47" s="13" t="s">
        <v>114</v>
      </c>
      <c r="E47" s="14"/>
      <c r="F47" s="12"/>
    </row>
    <row r="48" spans="1:11" ht="25.5">
      <c r="A48" s="23" t="s">
        <v>115</v>
      </c>
      <c r="B48" s="24" t="s">
        <v>116</v>
      </c>
      <c r="C48" s="25">
        <v>88483</v>
      </c>
      <c r="D48" s="32" t="s">
        <v>117</v>
      </c>
      <c r="E48" s="27" t="s">
        <v>17</v>
      </c>
      <c r="F48" s="28">
        <v>4.17</v>
      </c>
    </row>
    <row r="49" spans="1:11" ht="25.5">
      <c r="A49" s="23" t="s">
        <v>118</v>
      </c>
      <c r="B49" s="24" t="s">
        <v>116</v>
      </c>
      <c r="C49" s="25">
        <v>88495</v>
      </c>
      <c r="D49" s="32" t="s">
        <v>119</v>
      </c>
      <c r="E49" s="27" t="s">
        <v>17</v>
      </c>
      <c r="F49" s="28">
        <v>5.83</v>
      </c>
    </row>
    <row r="50" spans="1:11" s="57" customFormat="1" ht="25.5">
      <c r="A50" s="23" t="s">
        <v>120</v>
      </c>
      <c r="B50" s="24" t="s">
        <v>116</v>
      </c>
      <c r="C50" s="25">
        <v>88489</v>
      </c>
      <c r="D50" s="26" t="s">
        <v>121</v>
      </c>
      <c r="E50" s="27" t="s">
        <v>17</v>
      </c>
      <c r="F50" s="28">
        <v>8.35</v>
      </c>
      <c r="G50" s="55"/>
      <c r="H50" s="56"/>
      <c r="I50" s="56"/>
      <c r="J50" s="56"/>
      <c r="K50" s="56"/>
    </row>
    <row r="51" spans="1:11" s="57" customFormat="1" ht="25.5">
      <c r="A51" s="23" t="s">
        <v>122</v>
      </c>
      <c r="B51" s="24" t="s">
        <v>116</v>
      </c>
      <c r="C51" s="25" t="s">
        <v>123</v>
      </c>
      <c r="D51" s="26" t="s">
        <v>124</v>
      </c>
      <c r="E51" s="27" t="s">
        <v>17</v>
      </c>
      <c r="F51" s="28">
        <v>53.98</v>
      </c>
      <c r="G51" s="55"/>
      <c r="H51" s="56"/>
      <c r="I51" s="56"/>
      <c r="J51" s="56"/>
      <c r="K51" s="56"/>
    </row>
    <row r="52" spans="1:11" s="57" customFormat="1" ht="25.5">
      <c r="A52" s="23" t="s">
        <v>125</v>
      </c>
      <c r="B52" s="24" t="s">
        <v>116</v>
      </c>
      <c r="C52" s="25">
        <v>84677</v>
      </c>
      <c r="D52" s="26" t="s">
        <v>126</v>
      </c>
      <c r="E52" s="27" t="s">
        <v>17</v>
      </c>
      <c r="F52" s="28">
        <v>7.24</v>
      </c>
      <c r="G52" s="55"/>
      <c r="H52" s="56"/>
      <c r="I52" s="56"/>
      <c r="J52" s="56"/>
      <c r="K52" s="56"/>
    </row>
    <row r="53" spans="1:11">
      <c r="A53" s="10" t="s">
        <v>127</v>
      </c>
      <c r="B53" s="11"/>
      <c r="C53" s="12"/>
      <c r="D53" s="13" t="s">
        <v>128</v>
      </c>
      <c r="E53" s="14"/>
      <c r="F53" s="12"/>
    </row>
    <row r="54" spans="1:11">
      <c r="A54" s="10" t="s">
        <v>129</v>
      </c>
      <c r="B54" s="11"/>
      <c r="C54" s="12"/>
      <c r="D54" s="13" t="s">
        <v>130</v>
      </c>
      <c r="E54" s="14"/>
      <c r="F54" s="12"/>
    </row>
    <row r="55" spans="1:11" s="45" customFormat="1">
      <c r="A55" s="23" t="s">
        <v>131</v>
      </c>
      <c r="B55" s="46" t="s">
        <v>9</v>
      </c>
      <c r="C55" s="25" t="s">
        <v>132</v>
      </c>
      <c r="D55" s="32" t="str">
        <f>'ANEXO XVI- COMP. DE CUSTO UNIT.'!C552</f>
        <v>CAIXA PARA MEDICAO MONOFASICA PARA USO EXTERNO</v>
      </c>
      <c r="E55" s="36" t="s">
        <v>30</v>
      </c>
      <c r="F55" s="28">
        <f>'ANEXO XVI- COMP. DE CUSTO UNIT.'!F552</f>
        <v>402.53</v>
      </c>
      <c r="G55" s="43"/>
      <c r="H55" s="44"/>
      <c r="I55" s="44"/>
      <c r="J55" s="44"/>
      <c r="K55" s="44"/>
    </row>
    <row r="56" spans="1:11" ht="25.5">
      <c r="A56" s="23" t="s">
        <v>133</v>
      </c>
      <c r="B56" s="24" t="s">
        <v>116</v>
      </c>
      <c r="C56" s="25">
        <v>83446</v>
      </c>
      <c r="D56" s="26" t="s">
        <v>134</v>
      </c>
      <c r="E56" s="25" t="s">
        <v>30</v>
      </c>
      <c r="F56" s="28">
        <v>113.09</v>
      </c>
    </row>
    <row r="57" spans="1:11" s="45" customFormat="1">
      <c r="A57" s="23" t="s">
        <v>135</v>
      </c>
      <c r="B57" s="46" t="s">
        <v>9</v>
      </c>
      <c r="C57" s="25" t="s">
        <v>136</v>
      </c>
      <c r="D57" s="32" t="str">
        <f>'ANEXO XVI- COMP. DE CUSTO UNIT.'!C396</f>
        <v>CAIXA DE PASSAGEM 40X40X80 FUNDO BRITA C/ TAMPA</v>
      </c>
      <c r="E57" s="36" t="s">
        <v>30</v>
      </c>
      <c r="F57" s="28">
        <f>'ANEXO XVI- COMP. DE CUSTO UNIT.'!F396</f>
        <v>182.75790599999999</v>
      </c>
      <c r="G57" s="43"/>
      <c r="H57" s="44"/>
      <c r="I57" s="44"/>
      <c r="J57" s="44"/>
      <c r="K57" s="44"/>
    </row>
    <row r="58" spans="1:11" s="45" customFormat="1">
      <c r="A58" s="10" t="s">
        <v>137</v>
      </c>
      <c r="B58" s="11"/>
      <c r="C58" s="12"/>
      <c r="D58" s="13" t="s">
        <v>138</v>
      </c>
      <c r="E58" s="14"/>
      <c r="F58" s="12"/>
      <c r="G58" s="43"/>
      <c r="H58" s="44"/>
      <c r="I58" s="44"/>
      <c r="J58" s="44"/>
      <c r="K58" s="44"/>
    </row>
    <row r="59" spans="1:11" s="57" customFormat="1" ht="25.5">
      <c r="A59" s="23" t="s">
        <v>139</v>
      </c>
      <c r="B59" s="46" t="s">
        <v>9</v>
      </c>
      <c r="C59" s="25" t="s">
        <v>140</v>
      </c>
      <c r="D59" s="26" t="str">
        <f>'ANEXO XVI- COMP. DE CUSTO UNIT.'!C322</f>
        <v>ELETRODUTO DE PVC RIGIDO ROSCAVEL DN 15MM (1/2") INCL CONEXOES, FORNECIMENTO E INSTALACAO</v>
      </c>
      <c r="E59" s="36" t="str">
        <f>'ANEXO XVI- COMP. DE CUSTO UNIT.'!D322</f>
        <v>M</v>
      </c>
      <c r="F59" s="28">
        <f>'ANEXO XVI- COMP. DE CUSTO UNIT.'!F322</f>
        <v>22.03</v>
      </c>
      <c r="G59" s="55">
        <f>41/42</f>
        <v>0.97619047619047616</v>
      </c>
      <c r="H59" s="56"/>
      <c r="I59" s="56"/>
      <c r="J59" s="56"/>
      <c r="K59" s="56"/>
    </row>
    <row r="60" spans="1:11" s="45" customFormat="1" ht="25.5">
      <c r="A60" s="23" t="s">
        <v>141</v>
      </c>
      <c r="B60" s="46" t="s">
        <v>9</v>
      </c>
      <c r="C60" s="25" t="s">
        <v>142</v>
      </c>
      <c r="D60" s="32" t="str">
        <f>'ANEXO XVI- COMP. DE CUSTO UNIT.'!C347</f>
        <v>ELETRODUTO DE PVC ROSCÁVEL DE 2 1/2, INCL CONEXOES, FORNECIMENTO E INSTALAÇÃO</v>
      </c>
      <c r="E60" s="36" t="s">
        <v>112</v>
      </c>
      <c r="F60" s="28">
        <f>'ANEXO XVI- COMP. DE CUSTO UNIT.'!G369</f>
        <v>70.69</v>
      </c>
      <c r="G60" s="43"/>
      <c r="H60" s="44"/>
      <c r="I60" s="44"/>
      <c r="J60" s="44"/>
      <c r="K60" s="44"/>
    </row>
    <row r="61" spans="1:11" s="45" customFormat="1" ht="25.5">
      <c r="A61" s="23" t="s">
        <v>143</v>
      </c>
      <c r="B61" s="46" t="s">
        <v>9</v>
      </c>
      <c r="C61" s="25" t="s">
        <v>144</v>
      </c>
      <c r="D61" s="32" t="str">
        <f>'ANEXO XVI- COMP. DE CUSTO UNIT.'!C372</f>
        <v>ELETRODUTO DE PVC RIGIDO ROSCAVEL DN (3/4") INCL CONEXOES, ENVELOPADO - FORNECIMENTO E INSTALACAO</v>
      </c>
      <c r="E61" s="36" t="s">
        <v>112</v>
      </c>
      <c r="F61" s="28">
        <f>'ANEXO XVI- COMP. DE CUSTO UNIT.'!F372</f>
        <v>50.878</v>
      </c>
      <c r="G61" s="43"/>
      <c r="H61" s="44"/>
      <c r="I61" s="44"/>
      <c r="J61" s="44"/>
      <c r="K61" s="44"/>
    </row>
    <row r="62" spans="1:11" ht="38.25">
      <c r="A62" s="23" t="s">
        <v>145</v>
      </c>
      <c r="B62" s="58" t="s">
        <v>146</v>
      </c>
      <c r="C62" s="25">
        <v>72309</v>
      </c>
      <c r="D62" s="47" t="s">
        <v>147</v>
      </c>
      <c r="E62" s="25" t="s">
        <v>112</v>
      </c>
      <c r="F62" s="28">
        <v>23.1</v>
      </c>
    </row>
    <row r="63" spans="1:11" ht="25.5">
      <c r="A63" s="23" t="s">
        <v>148</v>
      </c>
      <c r="B63" s="46" t="s">
        <v>9</v>
      </c>
      <c r="C63" s="25" t="str">
        <f>'ANEXO XVI- COMP. DE CUSTO UNIT.'!B601</f>
        <v>CPU 9.010</v>
      </c>
      <c r="D63" s="47" t="str">
        <f>'ANEXO XVI- COMP. DE CUSTO UNIT.'!C601</f>
        <v>ELETRODUTO DE PVC RIGIDO ROSCAVEL DN (3/4") INCL CONEXOES, FORNECIMENTO E INSTALACAO</v>
      </c>
      <c r="E63" s="25" t="s">
        <v>112</v>
      </c>
      <c r="F63" s="28">
        <f>'ANEXO XVI- COMP. DE CUSTO UNIT.'!F601</f>
        <v>25.62</v>
      </c>
    </row>
    <row r="64" spans="1:11" s="45" customFormat="1" ht="25.5">
      <c r="A64" s="23" t="s">
        <v>149</v>
      </c>
      <c r="B64" s="46" t="s">
        <v>9</v>
      </c>
      <c r="C64" s="25" t="s">
        <v>150</v>
      </c>
      <c r="D64" s="32" t="str">
        <f>'ANEXO XVI- COMP. DE CUSTO UNIT.'!C426</f>
        <v>CURVA FERRO GALVANIZADO 90G ROSCA FEMEA REF. 2 1/2", FORNECIMENTO E INSTALAÇÃO</v>
      </c>
      <c r="E64" s="36" t="s">
        <v>30</v>
      </c>
      <c r="F64" s="28">
        <f>'ANEXO XVI- COMP. DE CUSTO UNIT.'!F426</f>
        <v>95.274479999999997</v>
      </c>
      <c r="G64" s="43"/>
      <c r="H64" s="44"/>
      <c r="I64" s="44"/>
      <c r="J64" s="44"/>
      <c r="K64" s="44"/>
    </row>
    <row r="65" spans="1:11" s="45" customFormat="1">
      <c r="A65" s="10" t="s">
        <v>151</v>
      </c>
      <c r="B65" s="11"/>
      <c r="C65" s="12"/>
      <c r="D65" s="13" t="s">
        <v>152</v>
      </c>
      <c r="E65" s="14"/>
      <c r="F65" s="12"/>
      <c r="G65" s="43"/>
      <c r="H65" s="44"/>
      <c r="I65" s="44"/>
      <c r="J65" s="44"/>
      <c r="K65" s="44"/>
    </row>
    <row r="66" spans="1:11" s="57" customFormat="1" ht="38.25">
      <c r="A66" s="23" t="s">
        <v>153</v>
      </c>
      <c r="B66" s="24" t="s">
        <v>116</v>
      </c>
      <c r="C66" s="25">
        <v>91931</v>
      </c>
      <c r="D66" s="26" t="s">
        <v>154</v>
      </c>
      <c r="E66" s="36" t="s">
        <v>112</v>
      </c>
      <c r="F66" s="28">
        <v>8.44</v>
      </c>
      <c r="G66" s="55"/>
      <c r="H66" s="56"/>
      <c r="I66" s="56"/>
      <c r="J66" s="56"/>
      <c r="K66" s="56"/>
    </row>
    <row r="67" spans="1:11" s="57" customFormat="1" ht="38.25">
      <c r="A67" s="23" t="s">
        <v>155</v>
      </c>
      <c r="B67" s="24" t="s">
        <v>116</v>
      </c>
      <c r="C67" s="25">
        <v>91927</v>
      </c>
      <c r="D67" s="26" t="s">
        <v>156</v>
      </c>
      <c r="E67" s="36" t="s">
        <v>112</v>
      </c>
      <c r="F67" s="28">
        <v>4</v>
      </c>
      <c r="G67" s="55"/>
      <c r="H67" s="56"/>
      <c r="I67" s="56"/>
      <c r="J67" s="56"/>
      <c r="K67" s="56"/>
    </row>
    <row r="68" spans="1:11" s="35" customFormat="1" ht="25.5">
      <c r="A68" s="23" t="s">
        <v>157</v>
      </c>
      <c r="B68" s="58" t="s">
        <v>146</v>
      </c>
      <c r="C68" s="25">
        <v>68069</v>
      </c>
      <c r="D68" s="47" t="s">
        <v>158</v>
      </c>
      <c r="E68" s="25" t="s">
        <v>30</v>
      </c>
      <c r="F68" s="28">
        <v>41.76</v>
      </c>
      <c r="G68" s="33"/>
      <c r="H68" s="34"/>
      <c r="I68" s="34"/>
      <c r="J68" s="34"/>
      <c r="K68" s="34"/>
    </row>
    <row r="69" spans="1:11">
      <c r="A69" s="10" t="s">
        <v>159</v>
      </c>
      <c r="B69" s="11"/>
      <c r="C69" s="12"/>
      <c r="D69" s="13" t="s">
        <v>160</v>
      </c>
      <c r="E69" s="14"/>
      <c r="F69" s="12"/>
    </row>
    <row r="70" spans="1:11" s="45" customFormat="1" ht="38.25">
      <c r="A70" s="23" t="s">
        <v>161</v>
      </c>
      <c r="B70" s="46" t="s">
        <v>9</v>
      </c>
      <c r="C70" s="25" t="s">
        <v>162</v>
      </c>
      <c r="D70" s="32" t="str">
        <f>'ANEXO XVI- COMP. DE CUSTO UNIT.'!C450</f>
        <v>POSTE DE CONCRETO DUPLO T, 100 KG, H = 8 M (NBR 8451)INCLUSIVE ESCAVACAO, EXCLUSIVE TRANSPORTE - FORNECIMENTO E INSTALAÇÃO</v>
      </c>
      <c r="E70" s="36" t="s">
        <v>30</v>
      </c>
      <c r="F70" s="28">
        <f>'ANEXO XVI- COMP. DE CUSTO UNIT.'!F450</f>
        <v>544.46872499999995</v>
      </c>
      <c r="G70" s="43"/>
      <c r="H70" s="44"/>
      <c r="I70" s="44"/>
      <c r="J70" s="44"/>
      <c r="K70" s="44"/>
    </row>
    <row r="71" spans="1:11" s="45" customFormat="1" ht="38.25">
      <c r="A71" s="23" t="s">
        <v>163</v>
      </c>
      <c r="B71" s="46" t="s">
        <v>9</v>
      </c>
      <c r="C71" s="25" t="s">
        <v>164</v>
      </c>
      <c r="D71" s="32" t="str">
        <f>'ANEXO XVI- COMP. DE CUSTO UNIT.'!C478</f>
        <v>POSTE DE ACO CONICO CONTINUO RETO, COM 04 PETALAS  E LÂMPADAS DE 250W, H=11M - FORNECIMENTO E INSTALACAO</v>
      </c>
      <c r="E71" s="36" t="s">
        <v>30</v>
      </c>
      <c r="F71" s="28">
        <f>'ANEXO XVI- COMP. DE CUSTO UNIT.'!F478</f>
        <v>3896.9500000000007</v>
      </c>
      <c r="G71" s="43"/>
      <c r="H71" s="44"/>
      <c r="I71" s="44"/>
      <c r="J71" s="44"/>
      <c r="K71" s="44"/>
    </row>
    <row r="72" spans="1:11" s="45" customFormat="1" ht="25.5">
      <c r="A72" s="23" t="s">
        <v>165</v>
      </c>
      <c r="B72" s="46" t="s">
        <v>9</v>
      </c>
      <c r="C72" s="25" t="s">
        <v>166</v>
      </c>
      <c r="D72" s="32" t="str">
        <f>'ANEXO XVI- COMP. DE CUSTO UNIT.'!C507</f>
        <v>LUMINÁRIA EW BLAST POWERCORE BCP473 COMPLETA OU SIMILAR - FORNECIMENTO E INSTALAÇÃO</v>
      </c>
      <c r="E72" s="36" t="s">
        <v>30</v>
      </c>
      <c r="F72" s="28">
        <f>'ANEXO XVI- COMP. DE CUSTO UNIT.'!F507</f>
        <v>4684.5833333333339</v>
      </c>
      <c r="G72" s="43"/>
      <c r="H72" s="44"/>
      <c r="I72" s="44"/>
      <c r="J72" s="44"/>
      <c r="K72" s="44"/>
    </row>
    <row r="73" spans="1:11" s="45" customFormat="1">
      <c r="A73" s="23" t="s">
        <v>167</v>
      </c>
      <c r="B73" s="46" t="s">
        <v>9</v>
      </c>
      <c r="C73" s="25" t="s">
        <v>168</v>
      </c>
      <c r="D73" s="32" t="str">
        <f>'ANEXO XVI- COMP. DE CUSTO UNIT.'!C526</f>
        <v>LUMINARIA AQUALED 2L - FORNECIMENTO E INSTALAÇÃO</v>
      </c>
      <c r="E73" s="36" t="s">
        <v>30</v>
      </c>
      <c r="F73" s="28">
        <f>'ANEXO XVI- COMP. DE CUSTO UNIT.'!F526</f>
        <v>888.96799999999996</v>
      </c>
      <c r="G73" s="43"/>
      <c r="H73" s="44"/>
      <c r="I73" s="44"/>
      <c r="J73" s="44"/>
      <c r="K73" s="44"/>
    </row>
    <row r="74" spans="1:11" s="57" customFormat="1" ht="25.5">
      <c r="A74" s="23" t="s">
        <v>169</v>
      </c>
      <c r="B74" s="24" t="s">
        <v>116</v>
      </c>
      <c r="C74" s="25">
        <v>83399</v>
      </c>
      <c r="D74" s="26" t="s">
        <v>170</v>
      </c>
      <c r="E74" s="36" t="s">
        <v>30</v>
      </c>
      <c r="F74" s="28">
        <v>45.61</v>
      </c>
      <c r="G74" s="55"/>
      <c r="H74" s="56"/>
      <c r="I74" s="56"/>
      <c r="J74" s="56"/>
      <c r="K74" s="56"/>
    </row>
    <row r="75" spans="1:11" s="45" customFormat="1">
      <c r="A75" s="10">
        <v>10</v>
      </c>
      <c r="B75" s="11"/>
      <c r="C75" s="12"/>
      <c r="D75" s="13" t="s">
        <v>171</v>
      </c>
      <c r="E75" s="14"/>
      <c r="F75" s="12"/>
      <c r="G75" s="43"/>
      <c r="H75" s="44"/>
      <c r="I75" s="44"/>
      <c r="J75" s="44"/>
      <c r="K75" s="44"/>
    </row>
    <row r="76" spans="1:11" s="57" customFormat="1" ht="25.5">
      <c r="A76" s="23" t="s">
        <v>172</v>
      </c>
      <c r="B76" s="24" t="s">
        <v>116</v>
      </c>
      <c r="C76" s="25">
        <v>85180</v>
      </c>
      <c r="D76" s="26" t="s">
        <v>173</v>
      </c>
      <c r="E76" s="27" t="s">
        <v>17</v>
      </c>
      <c r="F76" s="28">
        <v>13.44</v>
      </c>
      <c r="G76" s="55"/>
      <c r="H76" s="56"/>
      <c r="I76" s="56"/>
      <c r="J76" s="56"/>
      <c r="K76" s="56"/>
    </row>
    <row r="77" spans="1:11" s="57" customFormat="1" ht="25.5">
      <c r="A77" s="23" t="s">
        <v>174</v>
      </c>
      <c r="B77" s="24" t="s">
        <v>116</v>
      </c>
      <c r="C77" s="25" t="s">
        <v>175</v>
      </c>
      <c r="D77" s="26" t="s">
        <v>176</v>
      </c>
      <c r="E77" s="36" t="s">
        <v>30</v>
      </c>
      <c r="F77" s="28">
        <v>141.6</v>
      </c>
      <c r="G77" s="55"/>
      <c r="H77" s="56"/>
      <c r="I77" s="56"/>
      <c r="J77" s="56"/>
      <c r="K77" s="56"/>
    </row>
    <row r="78" spans="1:11" s="57" customFormat="1" ht="25.5">
      <c r="A78" s="23" t="s">
        <v>177</v>
      </c>
      <c r="B78" s="24" t="s">
        <v>116</v>
      </c>
      <c r="C78" s="25">
        <v>85178</v>
      </c>
      <c r="D78" s="26" t="s">
        <v>178</v>
      </c>
      <c r="E78" s="36" t="s">
        <v>30</v>
      </c>
      <c r="F78" s="28">
        <v>71.78</v>
      </c>
      <c r="G78" s="55"/>
      <c r="H78" s="56"/>
      <c r="I78" s="56"/>
      <c r="J78" s="56"/>
      <c r="K78" s="56"/>
    </row>
    <row r="79" spans="1:11" s="57" customFormat="1" ht="25.5">
      <c r="A79" s="23" t="s">
        <v>179</v>
      </c>
      <c r="B79" s="46" t="s">
        <v>9</v>
      </c>
      <c r="C79" s="25" t="str">
        <f>'ANEXO XVI- COMP. DE CUSTO UNIT.'!B626</f>
        <v>CPU 10.001</v>
      </c>
      <c r="D79" s="26" t="str">
        <f>'ANEXO XVI- COMP. DE CUSTO UNIT.'!C626</f>
        <v xml:space="preserve">PLACA DE SINALIZACAO EM CHAPA DE ALUMINIO COM PINTURA REFLETIVA, E = 2 MM, INCLUSIVE FIXAÇÃO </v>
      </c>
      <c r="E79" s="36" t="str">
        <f>'ANEXO XVI- COMP. DE CUSTO UNIT.'!D626</f>
        <v>M2</v>
      </c>
      <c r="F79" s="28">
        <f>'ANEXO XVI- COMP. DE CUSTO UNIT.'!F626</f>
        <v>793.19999999999993</v>
      </c>
      <c r="G79" s="55"/>
      <c r="H79" s="56"/>
      <c r="I79" s="56"/>
      <c r="J79" s="56"/>
      <c r="K79" s="56"/>
    </row>
    <row r="80" spans="1:11" s="57" customFormat="1" ht="25.5">
      <c r="A80" s="23" t="s">
        <v>180</v>
      </c>
      <c r="B80" s="24" t="s">
        <v>116</v>
      </c>
      <c r="C80" s="25">
        <v>9537</v>
      </c>
      <c r="D80" s="26" t="s">
        <v>181</v>
      </c>
      <c r="E80" s="27" t="s">
        <v>17</v>
      </c>
      <c r="F80" s="28">
        <v>1.76</v>
      </c>
      <c r="G80" s="55"/>
      <c r="H80" s="56"/>
      <c r="I80" s="56"/>
      <c r="J80" s="56"/>
      <c r="K80" s="56"/>
    </row>
  </sheetData>
  <sheetProtection selectLockedCells="1" selectUnlockedCells="1"/>
  <pageMargins left="0.51180555555555551" right="0" top="0.59027777777777779" bottom="0.59097222222222223" header="0.51180555555555551" footer="0.31527777777777777"/>
  <pageSetup scale="84" firstPageNumber="0" orientation="portrait" horizontalDpi="300" verticalDpi="300" r:id="rId1"/>
  <headerFooter alignWithMargins="0">
    <oddFooter>&amp;L&amp;"Tahoma,Normal"&amp;10Tabela de PreçosSEE-PE / Jan 2013&amp;C&amp;"Tahoma,Normal"&amp;9Prefeitura Muncipal IpojucaSAGP - DMS&amp;R&amp;"Tahoma,Negrito"&amp;9Página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view="pageBreakPreview" topLeftCell="A19" zoomScale="85" zoomScaleSheetLayoutView="85" workbookViewId="0">
      <selection activeCell="B25" sqref="B25"/>
    </sheetView>
  </sheetViews>
  <sheetFormatPr defaultColWidth="9" defaultRowHeight="15"/>
  <cols>
    <col min="1" max="1" width="11.42578125" customWidth="1"/>
    <col min="2" max="2" width="31" customWidth="1"/>
    <col min="3" max="3" width="13.42578125" customWidth="1"/>
    <col min="4" max="4" width="12.5703125" customWidth="1"/>
    <col min="5" max="5" width="12" customWidth="1"/>
    <col min="6" max="6" width="13.28515625" customWidth="1"/>
  </cols>
  <sheetData>
    <row r="2" spans="1:6">
      <c r="A2" s="814" t="s">
        <v>486</v>
      </c>
      <c r="B2" s="814"/>
      <c r="C2" s="814"/>
      <c r="D2" s="814"/>
      <c r="E2" s="814"/>
      <c r="F2" s="814"/>
    </row>
    <row r="3" spans="1:6" ht="15.75">
      <c r="A3" s="514"/>
      <c r="B3" s="515"/>
      <c r="C3" s="247"/>
      <c r="D3" s="247"/>
      <c r="E3" s="247"/>
      <c r="F3" s="247"/>
    </row>
    <row r="4" spans="1:6">
      <c r="A4" s="537" t="str">
        <f>RESUMO!A7</f>
        <v>OBJETO:</v>
      </c>
      <c r="B4" s="98" t="str">
        <f>RESUMO!B7</f>
        <v>Construção dos pórticos de acesso a cidade de Moreno</v>
      </c>
      <c r="C4" s="247"/>
      <c r="D4" s="247"/>
      <c r="E4" s="247"/>
      <c r="F4" s="247"/>
    </row>
    <row r="5" spans="1:6">
      <c r="A5" s="819"/>
      <c r="B5" s="819"/>
      <c r="C5" s="247"/>
      <c r="D5" s="247"/>
      <c r="E5" s="247"/>
      <c r="F5" s="247"/>
    </row>
    <row r="6" spans="1:6">
      <c r="A6" s="247"/>
      <c r="B6" s="247"/>
      <c r="C6" s="247"/>
      <c r="D6" s="247"/>
      <c r="E6" s="247"/>
      <c r="F6" s="247"/>
    </row>
    <row r="7" spans="1:6">
      <c r="A7" s="820" t="s">
        <v>520</v>
      </c>
      <c r="B7" s="820"/>
      <c r="C7" s="820"/>
      <c r="D7" s="820"/>
      <c r="E7" s="820"/>
      <c r="F7" s="820"/>
    </row>
    <row r="8" spans="1:6">
      <c r="A8" s="247" t="s">
        <v>490</v>
      </c>
      <c r="B8" s="247"/>
      <c r="C8" s="247"/>
      <c r="D8" s="247"/>
      <c r="E8" s="247"/>
      <c r="F8" s="247"/>
    </row>
    <row r="9" spans="1:6">
      <c r="A9" s="247" t="s">
        <v>491</v>
      </c>
      <c r="B9" s="247"/>
      <c r="C9" s="247"/>
      <c r="D9" s="247"/>
      <c r="E9" s="247"/>
      <c r="F9" s="247"/>
    </row>
    <row r="10" spans="1:6">
      <c r="A10" s="247" t="s">
        <v>492</v>
      </c>
      <c r="B10" s="247"/>
      <c r="C10" s="247"/>
      <c r="D10" s="247"/>
      <c r="E10" s="247"/>
      <c r="F10" s="247"/>
    </row>
    <row r="11" spans="1:6">
      <c r="A11" s="247" t="s">
        <v>248</v>
      </c>
      <c r="B11" s="247"/>
      <c r="C11" s="247"/>
      <c r="D11" s="247"/>
      <c r="E11" s="247"/>
      <c r="F11" s="247"/>
    </row>
    <row r="12" spans="1:6">
      <c r="A12" s="247"/>
      <c r="B12" s="247"/>
      <c r="C12" s="247"/>
      <c r="D12" s="247"/>
      <c r="E12" s="247"/>
      <c r="F12" s="247"/>
    </row>
    <row r="13" spans="1:6">
      <c r="A13" s="538" t="s">
        <v>521</v>
      </c>
      <c r="B13" s="247"/>
      <c r="C13" s="247"/>
      <c r="D13" s="247"/>
      <c r="E13" s="247"/>
      <c r="F13" s="247"/>
    </row>
    <row r="14" spans="1:6">
      <c r="A14" s="533" t="s">
        <v>263</v>
      </c>
      <c r="B14" s="539" t="s">
        <v>522</v>
      </c>
      <c r="C14" s="539" t="s">
        <v>523</v>
      </c>
      <c r="D14" s="539" t="s">
        <v>524</v>
      </c>
      <c r="E14" s="539" t="s">
        <v>525</v>
      </c>
      <c r="F14" s="539" t="s">
        <v>526</v>
      </c>
    </row>
    <row r="15" spans="1:6">
      <c r="A15" s="528" t="s">
        <v>527</v>
      </c>
      <c r="B15" s="525" t="s">
        <v>528</v>
      </c>
      <c r="C15" s="525"/>
      <c r="D15" s="528"/>
      <c r="E15" s="540"/>
      <c r="F15" s="540"/>
    </row>
    <row r="16" spans="1:6">
      <c r="A16" s="529" t="s">
        <v>529</v>
      </c>
      <c r="B16" s="519" t="s">
        <v>530</v>
      </c>
      <c r="C16" s="541">
        <f>0</f>
        <v>0</v>
      </c>
      <c r="D16" s="529"/>
      <c r="E16" s="519"/>
      <c r="F16" s="519"/>
    </row>
    <row r="17" spans="1:6">
      <c r="A17" s="529" t="s">
        <v>531</v>
      </c>
      <c r="B17" s="519" t="s">
        <v>532</v>
      </c>
      <c r="C17" s="541">
        <v>1.4999999999999999E-2</v>
      </c>
      <c r="D17" s="529"/>
      <c r="E17" s="519"/>
      <c r="F17" s="519"/>
    </row>
    <row r="18" spans="1:6">
      <c r="A18" s="529" t="s">
        <v>533</v>
      </c>
      <c r="B18" s="519" t="s">
        <v>534</v>
      </c>
      <c r="C18" s="541">
        <v>0.01</v>
      </c>
      <c r="D18" s="539"/>
      <c r="E18" s="519"/>
      <c r="F18" s="519"/>
    </row>
    <row r="19" spans="1:6">
      <c r="A19" s="529" t="s">
        <v>535</v>
      </c>
      <c r="B19" s="519" t="s">
        <v>536</v>
      </c>
      <c r="C19" s="541">
        <v>2E-3</v>
      </c>
      <c r="D19" s="529"/>
      <c r="E19" s="519"/>
      <c r="F19" s="519"/>
    </row>
    <row r="20" spans="1:6">
      <c r="A20" s="529" t="s">
        <v>537</v>
      </c>
      <c r="B20" s="519" t="s">
        <v>538</v>
      </c>
      <c r="C20" s="541">
        <v>6.0000000000000001E-3</v>
      </c>
      <c r="D20" s="519"/>
      <c r="E20" s="519"/>
      <c r="F20" s="519"/>
    </row>
    <row r="21" spans="1:6">
      <c r="A21" s="529" t="s">
        <v>539</v>
      </c>
      <c r="B21" s="542" t="s">
        <v>540</v>
      </c>
      <c r="C21" s="541">
        <v>2.5000000000000001E-2</v>
      </c>
      <c r="D21" s="519"/>
      <c r="E21" s="519"/>
      <c r="F21" s="519"/>
    </row>
    <row r="22" spans="1:6">
      <c r="A22" s="529" t="s">
        <v>541</v>
      </c>
      <c r="B22" s="519" t="s">
        <v>542</v>
      </c>
      <c r="C22" s="541">
        <v>0.03</v>
      </c>
      <c r="D22" s="519"/>
      <c r="E22" s="519"/>
      <c r="F22" s="519"/>
    </row>
    <row r="23" spans="1:6">
      <c r="A23" s="529" t="s">
        <v>543</v>
      </c>
      <c r="B23" s="519" t="s">
        <v>544</v>
      </c>
      <c r="C23" s="541">
        <v>0.08</v>
      </c>
      <c r="D23" s="519"/>
      <c r="E23" s="519"/>
      <c r="F23" s="519"/>
    </row>
    <row r="24" spans="1:6">
      <c r="A24" s="529" t="s">
        <v>545</v>
      </c>
      <c r="B24" s="519" t="s">
        <v>546</v>
      </c>
      <c r="C24" s="541">
        <v>0</v>
      </c>
      <c r="D24" s="519"/>
      <c r="E24" s="519"/>
      <c r="F24" s="519"/>
    </row>
    <row r="25" spans="1:6">
      <c r="A25" s="528" t="s">
        <v>547</v>
      </c>
      <c r="B25" s="525" t="s">
        <v>524</v>
      </c>
      <c r="C25" s="540"/>
      <c r="D25" s="540"/>
      <c r="E25" s="540"/>
      <c r="F25" s="540"/>
    </row>
    <row r="26" spans="1:6">
      <c r="A26" s="529" t="s">
        <v>548</v>
      </c>
      <c r="B26" s="519" t="s">
        <v>549</v>
      </c>
      <c r="C26" s="519"/>
      <c r="D26" s="541">
        <v>0.18090000000000001</v>
      </c>
      <c r="E26" s="519"/>
      <c r="F26" s="519"/>
    </row>
    <row r="27" spans="1:6">
      <c r="A27" s="529" t="s">
        <v>550</v>
      </c>
      <c r="B27" s="519" t="s">
        <v>551</v>
      </c>
      <c r="C27" s="519"/>
      <c r="D27" s="541">
        <v>4.3400000000000001E-2</v>
      </c>
      <c r="E27" s="519"/>
      <c r="F27" s="519"/>
    </row>
    <row r="28" spans="1:6">
      <c r="A28" s="529" t="s">
        <v>552</v>
      </c>
      <c r="B28" s="519" t="s">
        <v>553</v>
      </c>
      <c r="C28" s="519"/>
      <c r="D28" s="541">
        <v>9.1999999999999998E-3</v>
      </c>
      <c r="E28" s="519"/>
      <c r="F28" s="519"/>
    </row>
    <row r="29" spans="1:6">
      <c r="A29" s="529" t="s">
        <v>554</v>
      </c>
      <c r="B29" s="519" t="s">
        <v>555</v>
      </c>
      <c r="C29" s="519"/>
      <c r="D29" s="541">
        <v>0.1103</v>
      </c>
      <c r="E29" s="519"/>
      <c r="F29" s="519"/>
    </row>
    <row r="30" spans="1:6">
      <c r="A30" s="529" t="s">
        <v>556</v>
      </c>
      <c r="B30" s="519" t="s">
        <v>557</v>
      </c>
      <c r="C30" s="519"/>
      <c r="D30" s="541">
        <v>8.0000000000000004E-4</v>
      </c>
      <c r="E30" s="519"/>
      <c r="F30" s="519"/>
    </row>
    <row r="31" spans="1:6">
      <c r="A31" s="529" t="s">
        <v>558</v>
      </c>
      <c r="B31" s="519" t="s">
        <v>559</v>
      </c>
      <c r="C31" s="519"/>
      <c r="D31" s="541">
        <v>7.4000000000000003E-3</v>
      </c>
      <c r="E31" s="519"/>
      <c r="F31" s="519"/>
    </row>
    <row r="32" spans="1:6">
      <c r="A32" s="529" t="s">
        <v>560</v>
      </c>
      <c r="B32" s="519" t="s">
        <v>561</v>
      </c>
      <c r="C32" s="519"/>
      <c r="D32" s="541">
        <v>2.3099999999999999E-2</v>
      </c>
      <c r="E32" s="519"/>
      <c r="F32" s="519"/>
    </row>
    <row r="33" spans="1:6">
      <c r="A33" s="529" t="s">
        <v>562</v>
      </c>
      <c r="B33" s="519" t="s">
        <v>563</v>
      </c>
      <c r="C33" s="519"/>
      <c r="D33" s="541">
        <v>1.1999999999999999E-3</v>
      </c>
      <c r="E33" s="519"/>
      <c r="F33" s="519"/>
    </row>
    <row r="34" spans="1:6">
      <c r="A34" s="529" t="s">
        <v>564</v>
      </c>
      <c r="B34" s="519" t="s">
        <v>565</v>
      </c>
      <c r="C34" s="519"/>
      <c r="D34" s="541">
        <v>0.1021</v>
      </c>
      <c r="E34" s="519"/>
      <c r="F34" s="519"/>
    </row>
    <row r="35" spans="1:6">
      <c r="A35" s="529" t="s">
        <v>566</v>
      </c>
      <c r="B35" s="519" t="s">
        <v>567</v>
      </c>
      <c r="C35" s="519"/>
      <c r="D35" s="541">
        <v>2.9999999999999997E-4</v>
      </c>
      <c r="E35" s="519"/>
      <c r="F35" s="519"/>
    </row>
    <row r="36" spans="1:6">
      <c r="A36" s="528" t="s">
        <v>568</v>
      </c>
      <c r="B36" s="525" t="s">
        <v>525</v>
      </c>
      <c r="C36" s="540"/>
      <c r="D36" s="540"/>
      <c r="E36" s="540"/>
      <c r="F36" s="540"/>
    </row>
    <row r="37" spans="1:6">
      <c r="A37" s="529" t="s">
        <v>569</v>
      </c>
      <c r="B37" s="519" t="s">
        <v>570</v>
      </c>
      <c r="C37" s="519"/>
      <c r="D37" s="519"/>
      <c r="E37" s="541">
        <v>6.7100000000000007E-2</v>
      </c>
      <c r="F37" s="519"/>
    </row>
    <row r="38" spans="1:6">
      <c r="A38" s="529" t="s">
        <v>571</v>
      </c>
      <c r="B38" s="519" t="s">
        <v>572</v>
      </c>
      <c r="C38" s="519"/>
      <c r="D38" s="519"/>
      <c r="E38" s="541">
        <v>1.6000000000000001E-3</v>
      </c>
      <c r="F38" s="519"/>
    </row>
    <row r="39" spans="1:6">
      <c r="A39" s="529" t="s">
        <v>573</v>
      </c>
      <c r="B39" s="519" t="s">
        <v>574</v>
      </c>
      <c r="C39" s="519"/>
      <c r="D39" s="519"/>
      <c r="E39" s="541">
        <v>3.7699999999999997E-2</v>
      </c>
      <c r="F39" s="519"/>
    </row>
    <row r="40" spans="1:6">
      <c r="A40" s="529" t="s">
        <v>575</v>
      </c>
      <c r="B40" s="519" t="s">
        <v>576</v>
      </c>
      <c r="C40" s="519"/>
      <c r="D40" s="519"/>
      <c r="E40" s="541">
        <v>5.28E-2</v>
      </c>
      <c r="F40" s="519"/>
    </row>
    <row r="41" spans="1:6">
      <c r="A41" s="529" t="s">
        <v>577</v>
      </c>
      <c r="B41" s="519" t="s">
        <v>578</v>
      </c>
      <c r="C41" s="519"/>
      <c r="D41" s="519"/>
      <c r="E41" s="541">
        <v>5.5999999999999999E-3</v>
      </c>
      <c r="F41" s="519"/>
    </row>
    <row r="42" spans="1:6">
      <c r="A42" s="528" t="s">
        <v>579</v>
      </c>
      <c r="B42" s="525" t="s">
        <v>526</v>
      </c>
      <c r="C42" s="540"/>
      <c r="D42" s="540"/>
      <c r="E42" s="540"/>
      <c r="F42" s="540"/>
    </row>
    <row r="43" spans="1:6">
      <c r="A43" s="529" t="s">
        <v>580</v>
      </c>
      <c r="B43" s="519" t="s">
        <v>581</v>
      </c>
      <c r="C43" s="519"/>
      <c r="D43" s="519"/>
      <c r="E43" s="519"/>
      <c r="F43" s="543">
        <f>C45*D45</f>
        <v>8.042160000000001E-2</v>
      </c>
    </row>
    <row r="44" spans="1:6" ht="51">
      <c r="A44" s="544" t="s">
        <v>582</v>
      </c>
      <c r="B44" s="545" t="s">
        <v>583</v>
      </c>
      <c r="C44" s="519"/>
      <c r="D44" s="519"/>
      <c r="E44" s="519"/>
      <c r="F44" s="546">
        <f>(C45*E38)+(C23*E37)</f>
        <v>5.6368E-3</v>
      </c>
    </row>
    <row r="45" spans="1:6">
      <c r="A45" s="547" t="s">
        <v>584</v>
      </c>
      <c r="B45" s="517"/>
      <c r="C45" s="548">
        <f>SUM(C16:C24)</f>
        <v>0.16799999999999998</v>
      </c>
      <c r="D45" s="548">
        <f>SUM(D26:D44)</f>
        <v>0.47870000000000007</v>
      </c>
      <c r="E45" s="548">
        <f>SUM(E37:E41)</f>
        <v>0.1648</v>
      </c>
      <c r="F45" s="549">
        <f>SUM(F43:F44)-0.01%</f>
        <v>8.5958400000000004E-2</v>
      </c>
    </row>
    <row r="46" spans="1:6" ht="15" customHeight="1">
      <c r="A46" s="821" t="s">
        <v>585</v>
      </c>
      <c r="B46" s="821"/>
      <c r="C46" s="821"/>
      <c r="D46" s="821"/>
      <c r="E46" s="821"/>
      <c r="F46" s="550">
        <f>SUM(C45:F45)</f>
        <v>0.8974584000000001</v>
      </c>
    </row>
    <row r="47" spans="1:6">
      <c r="A47" s="247"/>
      <c r="B47" s="247"/>
      <c r="C47" s="247"/>
      <c r="D47" s="247"/>
      <c r="E47" s="247"/>
      <c r="F47" s="247"/>
    </row>
    <row r="48" spans="1:6">
      <c r="A48" s="795" t="str">
        <f>RESUMO!C26</f>
        <v xml:space="preserve"> Moreno, março de 2016</v>
      </c>
      <c r="B48" s="795"/>
      <c r="C48" s="795"/>
      <c r="D48" s="795"/>
      <c r="E48" s="795"/>
      <c r="F48" s="795"/>
    </row>
    <row r="49" spans="1:6">
      <c r="A49" s="247"/>
      <c r="C49" s="247"/>
      <c r="D49" s="247"/>
      <c r="E49" s="247"/>
      <c r="F49" s="247"/>
    </row>
    <row r="50" spans="1:6">
      <c r="A50" s="247"/>
      <c r="B50" s="536" t="s">
        <v>255</v>
      </c>
      <c r="C50" s="247"/>
      <c r="D50" s="247"/>
      <c r="E50" s="247"/>
      <c r="F50" s="247"/>
    </row>
    <row r="51" spans="1:6">
      <c r="A51" s="538"/>
      <c r="B51" s="217" t="s">
        <v>256</v>
      </c>
      <c r="C51" s="247"/>
      <c r="D51" s="247"/>
      <c r="E51" s="247"/>
      <c r="F51" s="247"/>
    </row>
    <row r="52" spans="1:6">
      <c r="A52" s="247"/>
      <c r="B52" s="217" t="s">
        <v>257</v>
      </c>
      <c r="C52" s="247"/>
      <c r="D52" s="247"/>
      <c r="E52" s="247"/>
      <c r="F52" s="247"/>
    </row>
  </sheetData>
  <sheetProtection selectLockedCells="1" selectUnlockedCells="1"/>
  <mergeCells count="5">
    <mergeCell ref="A2:F2"/>
    <mergeCell ref="A5:B5"/>
    <mergeCell ref="A7:F7"/>
    <mergeCell ref="A46:E46"/>
    <mergeCell ref="A48:F48"/>
  </mergeCells>
  <printOptions horizontalCentered="1"/>
  <pageMargins left="0.51180555555555551" right="0.51180555555555551" top="0.78749999999999998" bottom="0.78749999999999998" header="0.51180555555555551" footer="0.31527777777777777"/>
  <pageSetup paperSize="9" scale="88" firstPageNumber="0" orientation="portrait" horizontalDpi="300" verticalDpi="300" r:id="rId1"/>
  <headerFooter alignWithMargins="0">
    <oddFooter>&amp;L&amp;A&amp;CPágina &amp;P de &amp;N&amp;RAntônio Nunes da Silva Filho
Eng. Civil - CREA 16.122 - D/PE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view="pageBreakPreview" topLeftCell="A25" zoomScale="85" zoomScaleSheetLayoutView="85" workbookViewId="0">
      <selection activeCell="B6" sqref="B6"/>
    </sheetView>
  </sheetViews>
  <sheetFormatPr defaultColWidth="9" defaultRowHeight="15"/>
  <cols>
    <col min="1" max="1" width="9" customWidth="1"/>
    <col min="2" max="2" width="36.140625" customWidth="1"/>
    <col min="3" max="3" width="15.42578125" customWidth="1"/>
    <col min="4" max="4" width="13.7109375" customWidth="1"/>
    <col min="5" max="5" width="13.85546875" customWidth="1"/>
    <col min="6" max="6" width="14.5703125" customWidth="1"/>
  </cols>
  <sheetData>
    <row r="2" spans="1:6">
      <c r="A2" s="814" t="s">
        <v>486</v>
      </c>
      <c r="B2" s="814"/>
      <c r="C2" s="814"/>
      <c r="D2" s="814"/>
      <c r="E2" s="814"/>
      <c r="F2" s="814"/>
    </row>
    <row r="3" spans="1:6">
      <c r="A3" s="537" t="str">
        <f>RESUMO!A7</f>
        <v>OBJETO:</v>
      </c>
      <c r="B3" s="551" t="str">
        <f>RESUMO!B7</f>
        <v>Construção dos pórticos de acesso a cidade de Moreno</v>
      </c>
      <c r="C3" s="551"/>
      <c r="D3" s="551"/>
      <c r="E3" s="551"/>
      <c r="F3" s="551"/>
    </row>
    <row r="4" spans="1:6">
      <c r="A4" s="514"/>
      <c r="B4" s="551"/>
      <c r="C4" s="551"/>
      <c r="D4" s="551"/>
      <c r="E4" s="551"/>
      <c r="F4" s="551"/>
    </row>
    <row r="5" spans="1:6">
      <c r="A5" s="514"/>
      <c r="B5" s="551"/>
      <c r="C5" s="551"/>
      <c r="D5" s="551"/>
      <c r="E5" s="551"/>
      <c r="F5" s="551"/>
    </row>
    <row r="7" spans="1:6" ht="15.75" customHeight="1">
      <c r="A7" s="822" t="s">
        <v>586</v>
      </c>
      <c r="B7" s="822"/>
      <c r="C7" s="822"/>
      <c r="D7" s="822"/>
      <c r="E7" s="822"/>
      <c r="F7" s="822"/>
    </row>
    <row r="8" spans="1:6">
      <c r="A8" t="s">
        <v>490</v>
      </c>
    </row>
    <row r="9" spans="1:6">
      <c r="A9" t="s">
        <v>491</v>
      </c>
    </row>
    <row r="10" spans="1:6">
      <c r="A10" t="s">
        <v>492</v>
      </c>
    </row>
    <row r="11" spans="1:6">
      <c r="A11" t="s">
        <v>248</v>
      </c>
    </row>
    <row r="13" spans="1:6">
      <c r="A13" s="552" t="s">
        <v>521</v>
      </c>
    </row>
    <row r="14" spans="1:6">
      <c r="A14" s="553" t="s">
        <v>263</v>
      </c>
      <c r="B14" s="554" t="s">
        <v>522</v>
      </c>
      <c r="C14" s="554" t="s">
        <v>523</v>
      </c>
      <c r="D14" s="554" t="s">
        <v>524</v>
      </c>
      <c r="E14" s="554" t="s">
        <v>525</v>
      </c>
      <c r="F14" s="554" t="s">
        <v>526</v>
      </c>
    </row>
    <row r="15" spans="1:6">
      <c r="A15" s="555" t="s">
        <v>527</v>
      </c>
      <c r="B15" s="556" t="s">
        <v>528</v>
      </c>
      <c r="C15" s="556"/>
      <c r="D15" s="555"/>
      <c r="E15" s="557"/>
      <c r="F15" s="557"/>
    </row>
    <row r="16" spans="1:6">
      <c r="A16" s="558" t="s">
        <v>529</v>
      </c>
      <c r="B16" s="559" t="s">
        <v>530</v>
      </c>
      <c r="C16" s="560">
        <f>0</f>
        <v>0</v>
      </c>
      <c r="D16" s="561"/>
      <c r="E16" s="562"/>
      <c r="F16" s="562"/>
    </row>
    <row r="17" spans="1:6">
      <c r="A17" s="558" t="s">
        <v>531</v>
      </c>
      <c r="B17" s="559" t="s">
        <v>532</v>
      </c>
      <c r="C17" s="560">
        <v>1.4999999999999999E-2</v>
      </c>
      <c r="D17" s="561"/>
      <c r="E17" s="562"/>
      <c r="F17" s="562"/>
    </row>
    <row r="18" spans="1:6">
      <c r="A18" s="558" t="s">
        <v>533</v>
      </c>
      <c r="B18" s="559" t="s">
        <v>534</v>
      </c>
      <c r="C18" s="560">
        <v>0.01</v>
      </c>
      <c r="D18" s="554"/>
      <c r="E18" s="562"/>
      <c r="F18" s="562"/>
    </row>
    <row r="19" spans="1:6">
      <c r="A19" s="558" t="s">
        <v>535</v>
      </c>
      <c r="B19" s="559" t="s">
        <v>536</v>
      </c>
      <c r="C19" s="560">
        <v>2E-3</v>
      </c>
      <c r="D19" s="561"/>
      <c r="E19" s="562"/>
      <c r="F19" s="562"/>
    </row>
    <row r="20" spans="1:6">
      <c r="A20" s="558" t="s">
        <v>537</v>
      </c>
      <c r="B20" s="559" t="s">
        <v>538</v>
      </c>
      <c r="C20" s="560">
        <v>6.0000000000000001E-3</v>
      </c>
      <c r="D20" s="562"/>
      <c r="E20" s="562"/>
      <c r="F20" s="562"/>
    </row>
    <row r="21" spans="1:6">
      <c r="A21" s="558" t="s">
        <v>539</v>
      </c>
      <c r="B21" s="563" t="s">
        <v>540</v>
      </c>
      <c r="C21" s="560">
        <v>2.5000000000000001E-2</v>
      </c>
      <c r="D21" s="562"/>
      <c r="E21" s="562"/>
      <c r="F21" s="562"/>
    </row>
    <row r="22" spans="1:6">
      <c r="A22" s="558" t="s">
        <v>541</v>
      </c>
      <c r="B22" s="559" t="s">
        <v>542</v>
      </c>
      <c r="C22" s="560">
        <v>0.03</v>
      </c>
      <c r="D22" s="562"/>
      <c r="E22" s="562"/>
      <c r="F22" s="562"/>
    </row>
    <row r="23" spans="1:6">
      <c r="A23" s="558" t="s">
        <v>543</v>
      </c>
      <c r="B23" s="559" t="s">
        <v>544</v>
      </c>
      <c r="C23" s="560">
        <v>0.08</v>
      </c>
      <c r="D23" s="562"/>
      <c r="E23" s="562"/>
      <c r="F23" s="562"/>
    </row>
    <row r="24" spans="1:6">
      <c r="A24" s="558" t="s">
        <v>545</v>
      </c>
      <c r="B24" s="559" t="s">
        <v>546</v>
      </c>
      <c r="C24" s="560">
        <v>0</v>
      </c>
      <c r="D24" s="562"/>
      <c r="E24" s="562"/>
      <c r="F24" s="562"/>
    </row>
    <row r="25" spans="1:6">
      <c r="A25" s="555" t="s">
        <v>547</v>
      </c>
      <c r="B25" s="556" t="s">
        <v>524</v>
      </c>
      <c r="C25" s="557"/>
      <c r="D25" s="557"/>
      <c r="E25" s="557"/>
      <c r="F25" s="557"/>
    </row>
    <row r="26" spans="1:6">
      <c r="A26" s="561" t="s">
        <v>548</v>
      </c>
      <c r="B26" s="559" t="s">
        <v>549</v>
      </c>
      <c r="C26" s="562"/>
      <c r="D26" s="560">
        <v>0</v>
      </c>
      <c r="E26" s="562"/>
      <c r="F26" s="562"/>
    </row>
    <row r="27" spans="1:6">
      <c r="A27" s="561" t="s">
        <v>550</v>
      </c>
      <c r="B27" s="559" t="s">
        <v>551</v>
      </c>
      <c r="C27" s="562"/>
      <c r="D27" s="560">
        <v>0</v>
      </c>
      <c r="E27" s="562"/>
      <c r="F27" s="562"/>
    </row>
    <row r="28" spans="1:6">
      <c r="A28" s="561" t="s">
        <v>552</v>
      </c>
      <c r="B28" s="559" t="s">
        <v>553</v>
      </c>
      <c r="C28" s="562"/>
      <c r="D28" s="560">
        <v>6.8999999999999999E-3</v>
      </c>
      <c r="E28" s="562"/>
      <c r="F28" s="562"/>
    </row>
    <row r="29" spans="1:6">
      <c r="A29" s="561" t="s">
        <v>554</v>
      </c>
      <c r="B29" s="559" t="s">
        <v>555</v>
      </c>
      <c r="C29" s="562"/>
      <c r="D29" s="560">
        <v>8.3299999999999999E-2</v>
      </c>
      <c r="E29" s="562"/>
      <c r="F29" s="562"/>
    </row>
    <row r="30" spans="1:6">
      <c r="A30" s="561" t="s">
        <v>556</v>
      </c>
      <c r="B30" s="559" t="s">
        <v>557</v>
      </c>
      <c r="C30" s="562"/>
      <c r="D30" s="560">
        <v>5.9999999999999995E-4</v>
      </c>
      <c r="E30" s="562"/>
      <c r="F30" s="562"/>
    </row>
    <row r="31" spans="1:6">
      <c r="A31" s="561" t="s">
        <v>558</v>
      </c>
      <c r="B31" s="559" t="s">
        <v>559</v>
      </c>
      <c r="C31" s="562"/>
      <c r="D31" s="560">
        <v>5.5999999999999999E-3</v>
      </c>
      <c r="E31" s="562"/>
      <c r="F31" s="562"/>
    </row>
    <row r="32" spans="1:6">
      <c r="A32" s="561" t="s">
        <v>560</v>
      </c>
      <c r="B32" s="559" t="s">
        <v>561</v>
      </c>
      <c r="C32" s="562"/>
      <c r="D32" s="560">
        <v>0</v>
      </c>
      <c r="E32" s="562"/>
      <c r="F32" s="562"/>
    </row>
    <row r="33" spans="1:6">
      <c r="A33" s="561" t="s">
        <v>562</v>
      </c>
      <c r="B33" s="559" t="s">
        <v>563</v>
      </c>
      <c r="C33" s="562"/>
      <c r="D33" s="560">
        <v>8.9999999999999998E-4</v>
      </c>
      <c r="E33" s="562"/>
      <c r="F33" s="562"/>
    </row>
    <row r="34" spans="1:6">
      <c r="A34" s="561" t="s">
        <v>564</v>
      </c>
      <c r="B34" s="559" t="s">
        <v>565</v>
      </c>
      <c r="C34" s="562"/>
      <c r="D34" s="560">
        <v>7.7100000000000002E-2</v>
      </c>
      <c r="E34" s="562"/>
      <c r="F34" s="562"/>
    </row>
    <row r="35" spans="1:6">
      <c r="A35" s="561" t="s">
        <v>566</v>
      </c>
      <c r="B35" s="559" t="s">
        <v>567</v>
      </c>
      <c r="C35" s="562"/>
      <c r="D35" s="560">
        <v>2.0000000000000001E-4</v>
      </c>
      <c r="E35" s="562"/>
      <c r="F35" s="562"/>
    </row>
    <row r="36" spans="1:6">
      <c r="A36" s="555" t="s">
        <v>568</v>
      </c>
      <c r="B36" s="556" t="s">
        <v>525</v>
      </c>
      <c r="C36" s="557"/>
      <c r="D36" s="557"/>
      <c r="E36" s="557"/>
      <c r="F36" s="557"/>
    </row>
    <row r="37" spans="1:6">
      <c r="A37" s="561" t="s">
        <v>569</v>
      </c>
      <c r="B37" s="559" t="s">
        <v>570</v>
      </c>
      <c r="C37" s="562"/>
      <c r="D37" s="562"/>
      <c r="E37" s="560">
        <v>5.0700000000000002E-2</v>
      </c>
      <c r="F37" s="562"/>
    </row>
    <row r="38" spans="1:6">
      <c r="A38" s="561" t="s">
        <v>571</v>
      </c>
      <c r="B38" s="559" t="s">
        <v>572</v>
      </c>
      <c r="C38" s="562"/>
      <c r="D38" s="562"/>
      <c r="E38" s="560">
        <v>1.1999999999999999E-3</v>
      </c>
      <c r="F38" s="562"/>
    </row>
    <row r="39" spans="1:6">
      <c r="A39" s="561" t="s">
        <v>573</v>
      </c>
      <c r="B39" s="559" t="s">
        <v>574</v>
      </c>
      <c r="C39" s="562"/>
      <c r="D39" s="562"/>
      <c r="E39" s="560">
        <v>2.8500000000000001E-2</v>
      </c>
      <c r="F39" s="562"/>
    </row>
    <row r="40" spans="1:6">
      <c r="A40" s="561" t="s">
        <v>575</v>
      </c>
      <c r="B40" s="559" t="s">
        <v>576</v>
      </c>
      <c r="C40" s="562"/>
      <c r="D40" s="562"/>
      <c r="E40" s="560">
        <v>3.9899999999999998E-2</v>
      </c>
      <c r="F40" s="562"/>
    </row>
    <row r="41" spans="1:6">
      <c r="A41" s="561" t="s">
        <v>577</v>
      </c>
      <c r="B41" s="559" t="s">
        <v>578</v>
      </c>
      <c r="C41" s="562"/>
      <c r="D41" s="562"/>
      <c r="E41" s="560">
        <v>4.3E-3</v>
      </c>
      <c r="F41" s="562"/>
    </row>
    <row r="42" spans="1:6">
      <c r="A42" s="555" t="s">
        <v>579</v>
      </c>
      <c r="B42" s="556" t="s">
        <v>526</v>
      </c>
      <c r="C42" s="557"/>
      <c r="D42" s="557"/>
      <c r="E42" s="557"/>
      <c r="F42" s="557"/>
    </row>
    <row r="43" spans="1:6">
      <c r="A43" s="561" t="s">
        <v>580</v>
      </c>
      <c r="B43" s="559" t="s">
        <v>581</v>
      </c>
      <c r="C43" s="562"/>
      <c r="D43" s="562"/>
      <c r="E43" s="562"/>
      <c r="F43" s="564">
        <f>C45*D45</f>
        <v>2.9332799999999999E-2</v>
      </c>
    </row>
    <row r="44" spans="1:6" ht="45">
      <c r="A44" s="565" t="s">
        <v>582</v>
      </c>
      <c r="B44" s="566" t="s">
        <v>583</v>
      </c>
      <c r="C44" s="567"/>
      <c r="D44" s="567"/>
      <c r="E44" s="567"/>
      <c r="F44" s="568">
        <f>(C45*E38)+(C23*E37)</f>
        <v>4.2576000000000003E-3</v>
      </c>
    </row>
    <row r="45" spans="1:6">
      <c r="A45" s="569" t="s">
        <v>584</v>
      </c>
      <c r="B45" s="570"/>
      <c r="C45" s="571">
        <f>SUM(C16:C24)</f>
        <v>0.16799999999999998</v>
      </c>
      <c r="D45" s="571">
        <f>SUM(D26:D44)</f>
        <v>0.17460000000000001</v>
      </c>
      <c r="E45" s="571">
        <f>SUM(E37:E41)</f>
        <v>0.12459999999999999</v>
      </c>
      <c r="F45" s="572">
        <f>SUM(F43:F44)</f>
        <v>3.3590399999999999E-2</v>
      </c>
    </row>
    <row r="46" spans="1:6" ht="15" customHeight="1">
      <c r="A46" s="823" t="s">
        <v>587</v>
      </c>
      <c r="B46" s="823"/>
      <c r="C46" s="823"/>
      <c r="D46" s="823"/>
      <c r="E46" s="823"/>
      <c r="F46" s="573">
        <f>SUM(C45:F45)</f>
        <v>0.50079039999999997</v>
      </c>
    </row>
    <row r="48" spans="1:6">
      <c r="A48" s="795" t="str">
        <f>RESUMO!C26</f>
        <v xml:space="preserve"> Moreno, março de 2016</v>
      </c>
      <c r="B48" s="795"/>
      <c r="C48" s="795"/>
      <c r="D48" s="795"/>
      <c r="E48" s="795"/>
      <c r="F48" s="795"/>
    </row>
    <row r="50" spans="2:2">
      <c r="B50" s="536" t="s">
        <v>255</v>
      </c>
    </row>
    <row r="51" spans="2:2">
      <c r="B51" s="217" t="s">
        <v>256</v>
      </c>
    </row>
    <row r="52" spans="2:2">
      <c r="B52" s="217" t="s">
        <v>257</v>
      </c>
    </row>
  </sheetData>
  <sheetProtection selectLockedCells="1" selectUnlockedCells="1"/>
  <mergeCells count="4">
    <mergeCell ref="A2:F2"/>
    <mergeCell ref="A7:F7"/>
    <mergeCell ref="A46:E46"/>
    <mergeCell ref="A48:F48"/>
  </mergeCells>
  <printOptions horizontalCentered="1"/>
  <pageMargins left="0.51180555555555551" right="0.51180555555555551" top="0.78749999999999998" bottom="0.78749999999999998" header="0.51180555555555551" footer="0.31527777777777777"/>
  <pageSetup paperSize="9" scale="82" firstPageNumber="0" orientation="portrait" horizontalDpi="300" verticalDpi="300" r:id="rId1"/>
  <headerFooter alignWithMargins="0">
    <oddFooter>&amp;L&amp;A&amp;CPágina &amp;P de &amp;N&amp;RAntônio Nunes da Silva Filho
Eng. Civil - CREA 16.122 - D/PE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"/>
  <sheetViews>
    <sheetView view="pageBreakPreview" zoomScale="85" zoomScaleNormal="110" zoomScaleSheetLayoutView="85" workbookViewId="0">
      <selection activeCell="A6" sqref="A6"/>
    </sheetView>
  </sheetViews>
  <sheetFormatPr defaultRowHeight="11.25"/>
  <cols>
    <col min="1" max="1" width="11.5703125" style="574" customWidth="1"/>
    <col min="2" max="2" width="16.7109375" style="59" customWidth="1"/>
    <col min="3" max="3" width="60.5703125" style="60" customWidth="1"/>
    <col min="4" max="4" width="9.140625" style="60" customWidth="1"/>
    <col min="5" max="5" width="15.42578125" style="60" customWidth="1"/>
    <col min="6" max="6" width="12.7109375" style="60" customWidth="1"/>
    <col min="7" max="7" width="14.5703125" style="60" customWidth="1"/>
    <col min="8" max="8" width="10.28515625" style="575" customWidth="1"/>
    <col min="9" max="9" width="11" style="575" customWidth="1"/>
    <col min="10" max="10" width="17.28515625" style="575" customWidth="1"/>
    <col min="11" max="11" width="14.85546875" style="575" customWidth="1"/>
    <col min="12" max="12" width="17" style="575" customWidth="1"/>
    <col min="13" max="14" width="15.140625" style="61" customWidth="1"/>
    <col min="15" max="17" width="9.28515625" style="61" customWidth="1"/>
    <col min="18" max="16384" width="9.140625" style="61"/>
  </cols>
  <sheetData>
    <row r="1" spans="1:10">
      <c r="A1" s="576"/>
      <c r="B1" s="577"/>
      <c r="C1" s="578"/>
      <c r="D1" s="578"/>
      <c r="E1" s="578"/>
      <c r="F1" s="578"/>
      <c r="G1" s="578"/>
    </row>
    <row r="2" spans="1:10">
      <c r="A2" s="825" t="s">
        <v>588</v>
      </c>
      <c r="B2" s="825"/>
      <c r="C2" s="825"/>
      <c r="D2" s="825"/>
      <c r="E2" s="825"/>
      <c r="F2" s="825"/>
      <c r="G2" s="825"/>
    </row>
    <row r="3" spans="1:10">
      <c r="A3" s="825" t="str">
        <f>RESUMO!B7</f>
        <v>Construção dos pórticos de acesso a cidade de Moreno</v>
      </c>
      <c r="B3" s="825"/>
      <c r="C3" s="825"/>
      <c r="D3" s="825"/>
      <c r="E3" s="825"/>
      <c r="F3" s="825"/>
      <c r="G3" s="825"/>
    </row>
    <row r="4" spans="1:10">
      <c r="A4" s="580"/>
      <c r="B4" s="579"/>
      <c r="C4" s="579"/>
      <c r="D4" s="579"/>
      <c r="E4" s="579"/>
      <c r="F4" s="579"/>
      <c r="G4" s="581"/>
    </row>
    <row r="5" spans="1:10">
      <c r="A5" s="825" t="s">
        <v>589</v>
      </c>
      <c r="B5" s="825"/>
      <c r="C5" s="825"/>
      <c r="D5" s="825"/>
      <c r="E5" s="825"/>
      <c r="F5" s="825"/>
      <c r="G5" s="825"/>
    </row>
    <row r="6" spans="1:10">
      <c r="A6" s="580"/>
      <c r="B6" s="579"/>
      <c r="C6" s="579"/>
      <c r="D6" s="579"/>
      <c r="E6" s="579"/>
      <c r="F6" s="579"/>
      <c r="G6" s="579"/>
    </row>
    <row r="7" spans="1:10">
      <c r="A7" s="580"/>
      <c r="B7" s="579"/>
      <c r="C7" s="579"/>
      <c r="D7" s="579"/>
      <c r="E7" s="579"/>
      <c r="F7" s="579"/>
      <c r="G7" s="579"/>
    </row>
    <row r="8" spans="1:10">
      <c r="A8" s="582"/>
      <c r="B8" s="583" t="s">
        <v>10</v>
      </c>
      <c r="C8" s="584" t="s">
        <v>276</v>
      </c>
      <c r="D8" s="585" t="s">
        <v>277</v>
      </c>
      <c r="E8" s="586"/>
      <c r="F8" s="587">
        <f>G20</f>
        <v>12543.207884057971</v>
      </c>
      <c r="G8" s="588"/>
    </row>
    <row r="9" spans="1:10">
      <c r="A9" s="589"/>
      <c r="B9" s="72"/>
      <c r="C9" s="64" t="s">
        <v>590</v>
      </c>
      <c r="D9" s="64" t="s">
        <v>194</v>
      </c>
      <c r="E9" s="590" t="s">
        <v>591</v>
      </c>
      <c r="F9" s="590" t="s">
        <v>592</v>
      </c>
      <c r="G9" s="590" t="s">
        <v>593</v>
      </c>
    </row>
    <row r="10" spans="1:10">
      <c r="A10" s="67"/>
      <c r="B10" s="66"/>
      <c r="C10" s="591"/>
      <c r="D10" s="69"/>
      <c r="E10" s="592"/>
      <c r="F10" s="593"/>
      <c r="G10" s="593">
        <f>E10*F10</f>
        <v>0</v>
      </c>
    </row>
    <row r="11" spans="1:10">
      <c r="A11" s="589"/>
      <c r="B11" s="72"/>
      <c r="C11" s="73"/>
      <c r="D11" s="73"/>
      <c r="E11" s="76"/>
      <c r="F11" s="590" t="s">
        <v>594</v>
      </c>
      <c r="G11" s="594">
        <f>SUM(G10:G10)</f>
        <v>0</v>
      </c>
    </row>
    <row r="12" spans="1:10">
      <c r="A12" s="589"/>
      <c r="B12" s="72"/>
      <c r="C12" s="64" t="s">
        <v>595</v>
      </c>
      <c r="D12" s="64" t="s">
        <v>194</v>
      </c>
      <c r="E12" s="590" t="s">
        <v>591</v>
      </c>
      <c r="F12" s="590" t="s">
        <v>592</v>
      </c>
      <c r="G12" s="590" t="s">
        <v>593</v>
      </c>
    </row>
    <row r="13" spans="1:10" ht="24.75">
      <c r="A13" s="67" t="s">
        <v>188</v>
      </c>
      <c r="B13" s="72">
        <v>90777</v>
      </c>
      <c r="C13" s="591" t="s">
        <v>189</v>
      </c>
      <c r="D13" s="69" t="s">
        <v>190</v>
      </c>
      <c r="E13" s="592">
        <v>110</v>
      </c>
      <c r="F13" s="593">
        <f>J13</f>
        <v>34.12384716732543</v>
      </c>
      <c r="G13" s="593">
        <f>E13*F13</f>
        <v>3753.6231884057975</v>
      </c>
      <c r="I13" s="70">
        <v>64.75</v>
      </c>
      <c r="J13" s="595">
        <f>I13/1.8975</f>
        <v>34.12384716732543</v>
      </c>
    </row>
    <row r="14" spans="1:10" ht="24.75">
      <c r="A14" s="67" t="s">
        <v>188</v>
      </c>
      <c r="B14" s="72">
        <v>90780</v>
      </c>
      <c r="C14" s="591" t="s">
        <v>191</v>
      </c>
      <c r="D14" s="69" t="s">
        <v>190</v>
      </c>
      <c r="E14" s="592">
        <v>220</v>
      </c>
      <c r="F14" s="593">
        <f>J14</f>
        <v>20.927536231884059</v>
      </c>
      <c r="G14" s="593">
        <f>E14*F14</f>
        <v>4604.057971014493</v>
      </c>
      <c r="I14" s="70">
        <v>39.71</v>
      </c>
      <c r="J14" s="595">
        <f>I14/1.8975</f>
        <v>20.927536231884059</v>
      </c>
    </row>
    <row r="15" spans="1:10">
      <c r="A15" s="589"/>
      <c r="B15" s="72"/>
      <c r="C15" s="73" t="s">
        <v>596</v>
      </c>
      <c r="D15" s="69" t="s">
        <v>252</v>
      </c>
      <c r="E15" s="596">
        <v>0.50080000000000002</v>
      </c>
      <c r="F15" s="70">
        <f>SUM(G13:G14)</f>
        <v>8357.68115942029</v>
      </c>
      <c r="G15" s="70">
        <f>F15*E15</f>
        <v>4185.5267246376816</v>
      </c>
    </row>
    <row r="16" spans="1:10">
      <c r="A16" s="589"/>
      <c r="B16" s="72"/>
      <c r="C16" s="597"/>
      <c r="D16" s="73"/>
      <c r="E16" s="70"/>
      <c r="F16" s="590" t="s">
        <v>597</v>
      </c>
      <c r="G16" s="65">
        <f>SUM(G13:G15)</f>
        <v>12543.207884057971</v>
      </c>
    </row>
    <row r="17" spans="1:7">
      <c r="A17" s="589"/>
      <c r="B17" s="64"/>
      <c r="C17" s="597" t="s">
        <v>598</v>
      </c>
      <c r="D17" s="64" t="s">
        <v>194</v>
      </c>
      <c r="E17" s="598" t="s">
        <v>591</v>
      </c>
      <c r="F17" s="598" t="s">
        <v>592</v>
      </c>
      <c r="G17" s="598" t="s">
        <v>593</v>
      </c>
    </row>
    <row r="18" spans="1:7">
      <c r="A18" s="589"/>
      <c r="B18" s="64"/>
      <c r="C18" s="68"/>
      <c r="D18" s="69"/>
      <c r="E18" s="599"/>
      <c r="F18" s="91"/>
      <c r="G18" s="91"/>
    </row>
    <row r="19" spans="1:7">
      <c r="A19" s="589"/>
      <c r="B19" s="64"/>
      <c r="C19" s="73"/>
      <c r="D19" s="73"/>
      <c r="E19" s="76"/>
      <c r="F19" s="590" t="s">
        <v>599</v>
      </c>
      <c r="G19" s="76">
        <f>SUM(G18:G18)</f>
        <v>0</v>
      </c>
    </row>
    <row r="20" spans="1:7">
      <c r="A20" s="589"/>
      <c r="B20" s="64"/>
      <c r="C20" s="597" t="s">
        <v>600</v>
      </c>
      <c r="D20" s="73"/>
      <c r="E20" s="76"/>
      <c r="F20" s="76"/>
      <c r="G20" s="600">
        <f>G11+G16+G19</f>
        <v>12543.207884057971</v>
      </c>
    </row>
    <row r="21" spans="1:7">
      <c r="A21" s="601"/>
      <c r="B21" s="602"/>
      <c r="C21" s="603"/>
      <c r="D21" s="603"/>
      <c r="E21" s="603"/>
      <c r="F21" s="603"/>
      <c r="G21" s="604"/>
    </row>
    <row r="22" spans="1:7" ht="45">
      <c r="A22" s="605" t="s">
        <v>601</v>
      </c>
      <c r="B22" s="583" t="s">
        <v>35</v>
      </c>
      <c r="C22" s="584" t="s">
        <v>278</v>
      </c>
      <c r="D22" s="585" t="s">
        <v>222</v>
      </c>
      <c r="E22" s="586"/>
      <c r="F22" s="606">
        <f>G46</f>
        <v>897.07</v>
      </c>
      <c r="G22" s="588"/>
    </row>
    <row r="23" spans="1:7">
      <c r="A23" s="607"/>
      <c r="B23" s="64"/>
      <c r="C23" s="64" t="s">
        <v>590</v>
      </c>
      <c r="D23" s="64" t="s">
        <v>194</v>
      </c>
      <c r="E23" s="598" t="s">
        <v>591</v>
      </c>
      <c r="F23" s="598" t="s">
        <v>592</v>
      </c>
      <c r="G23" s="598" t="s">
        <v>593</v>
      </c>
    </row>
    <row r="24" spans="1:7" ht="24.75">
      <c r="A24" s="67" t="s">
        <v>184</v>
      </c>
      <c r="B24" s="75">
        <v>1419</v>
      </c>
      <c r="C24" s="68" t="s">
        <v>193</v>
      </c>
      <c r="D24" s="69" t="s">
        <v>194</v>
      </c>
      <c r="E24" s="592">
        <v>1</v>
      </c>
      <c r="F24" s="593">
        <v>4.0199999999999996</v>
      </c>
      <c r="G24" s="593">
        <f t="shared" ref="G24:G30" si="0">F24*E24</f>
        <v>4.0199999999999996</v>
      </c>
    </row>
    <row r="25" spans="1:7" ht="24.75">
      <c r="A25" s="67" t="s">
        <v>184</v>
      </c>
      <c r="B25" s="75">
        <v>95</v>
      </c>
      <c r="C25" s="68" t="s">
        <v>602</v>
      </c>
      <c r="D25" s="69" t="s">
        <v>194</v>
      </c>
      <c r="E25" s="592">
        <v>1</v>
      </c>
      <c r="F25" s="593">
        <v>9.8000000000000007</v>
      </c>
      <c r="G25" s="593">
        <f t="shared" si="0"/>
        <v>9.8000000000000007</v>
      </c>
    </row>
    <row r="26" spans="1:7" ht="24.75">
      <c r="A26" s="67" t="s">
        <v>184</v>
      </c>
      <c r="B26" s="77">
        <v>9867</v>
      </c>
      <c r="C26" s="68" t="s">
        <v>196</v>
      </c>
      <c r="D26" s="69" t="s">
        <v>112</v>
      </c>
      <c r="E26" s="592">
        <v>10.5</v>
      </c>
      <c r="F26" s="593">
        <v>1.98</v>
      </c>
      <c r="G26" s="593">
        <f t="shared" si="0"/>
        <v>20.79</v>
      </c>
    </row>
    <row r="27" spans="1:7" ht="24.75">
      <c r="A27" s="67" t="s">
        <v>184</v>
      </c>
      <c r="B27" s="77">
        <v>6029</v>
      </c>
      <c r="C27" s="68" t="s">
        <v>197</v>
      </c>
      <c r="D27" s="69" t="s">
        <v>194</v>
      </c>
      <c r="E27" s="592">
        <v>1</v>
      </c>
      <c r="F27" s="593">
        <v>12.85</v>
      </c>
      <c r="G27" s="593">
        <f t="shared" si="0"/>
        <v>12.85</v>
      </c>
    </row>
    <row r="28" spans="1:7" ht="24.75">
      <c r="A28" s="67" t="s">
        <v>184</v>
      </c>
      <c r="B28" s="77">
        <v>11882</v>
      </c>
      <c r="C28" s="68" t="s">
        <v>198</v>
      </c>
      <c r="D28" s="69" t="s">
        <v>194</v>
      </c>
      <c r="E28" s="592">
        <v>1</v>
      </c>
      <c r="F28" s="593">
        <v>64.84</v>
      </c>
      <c r="G28" s="593">
        <f t="shared" si="0"/>
        <v>64.84</v>
      </c>
    </row>
    <row r="29" spans="1:7" ht="24.75">
      <c r="A29" s="67" t="s">
        <v>184</v>
      </c>
      <c r="B29" s="77">
        <v>10780</v>
      </c>
      <c r="C29" s="68" t="s">
        <v>603</v>
      </c>
      <c r="D29" s="69" t="s">
        <v>194</v>
      </c>
      <c r="E29" s="592">
        <v>1</v>
      </c>
      <c r="F29" s="593">
        <v>4.05</v>
      </c>
      <c r="G29" s="593">
        <f t="shared" si="0"/>
        <v>4.05</v>
      </c>
    </row>
    <row r="30" spans="1:7" ht="24.75">
      <c r="A30" s="67" t="s">
        <v>184</v>
      </c>
      <c r="B30" s="77">
        <v>12770</v>
      </c>
      <c r="C30" s="68" t="s">
        <v>200</v>
      </c>
      <c r="D30" s="69" t="s">
        <v>194</v>
      </c>
      <c r="E30" s="592">
        <v>1</v>
      </c>
      <c r="F30" s="593">
        <v>375.92</v>
      </c>
      <c r="G30" s="593">
        <f t="shared" si="0"/>
        <v>375.92</v>
      </c>
    </row>
    <row r="31" spans="1:7">
      <c r="A31" s="607"/>
      <c r="B31" s="77"/>
      <c r="C31" s="68"/>
      <c r="D31" s="69"/>
      <c r="E31" s="608"/>
      <c r="F31" s="609"/>
      <c r="G31" s="82"/>
    </row>
    <row r="32" spans="1:7">
      <c r="A32" s="607"/>
      <c r="B32" s="64"/>
      <c r="C32" s="73" t="s">
        <v>594</v>
      </c>
      <c r="D32" s="73"/>
      <c r="E32" s="76"/>
      <c r="F32" s="82"/>
      <c r="G32" s="82">
        <f>SUM(G24:G31)</f>
        <v>492.27000000000004</v>
      </c>
    </row>
    <row r="33" spans="1:7">
      <c r="A33" s="607"/>
      <c r="B33" s="64"/>
      <c r="C33" s="64" t="s">
        <v>595</v>
      </c>
      <c r="D33" s="64" t="s">
        <v>194</v>
      </c>
      <c r="E33" s="598" t="s">
        <v>591</v>
      </c>
      <c r="F33" s="598" t="s">
        <v>592</v>
      </c>
      <c r="G33" s="598" t="s">
        <v>593</v>
      </c>
    </row>
    <row r="34" spans="1:7" ht="24.75">
      <c r="A34" s="67" t="s">
        <v>188</v>
      </c>
      <c r="B34" s="72">
        <v>88309</v>
      </c>
      <c r="C34" s="73" t="s">
        <v>201</v>
      </c>
      <c r="D34" s="69" t="s">
        <v>604</v>
      </c>
      <c r="E34" s="592">
        <v>5</v>
      </c>
      <c r="F34" s="79">
        <v>13.76</v>
      </c>
      <c r="G34" s="70">
        <f>+E34*F34</f>
        <v>68.8</v>
      </c>
    </row>
    <row r="35" spans="1:7" ht="24.75">
      <c r="A35" s="67" t="s">
        <v>188</v>
      </c>
      <c r="B35" s="72">
        <v>88316</v>
      </c>
      <c r="C35" s="80" t="s">
        <v>202</v>
      </c>
      <c r="D35" s="69" t="s">
        <v>604</v>
      </c>
      <c r="E35" s="592">
        <v>30</v>
      </c>
      <c r="F35" s="79">
        <v>11.2</v>
      </c>
      <c r="G35" s="70">
        <f>+E35*F35</f>
        <v>336</v>
      </c>
    </row>
    <row r="36" spans="1:7">
      <c r="A36" s="607"/>
      <c r="B36" s="64"/>
      <c r="C36" s="73" t="s">
        <v>253</v>
      </c>
      <c r="D36" s="69"/>
      <c r="E36" s="610"/>
      <c r="F36" s="76"/>
      <c r="G36" s="76">
        <f>SUM(G34:G35)</f>
        <v>404.8</v>
      </c>
    </row>
    <row r="37" spans="1:7">
      <c r="A37" s="607"/>
      <c r="B37" s="64"/>
      <c r="C37" s="73"/>
      <c r="D37" s="73"/>
      <c r="E37" s="610"/>
      <c r="F37" s="611"/>
      <c r="G37" s="76"/>
    </row>
    <row r="38" spans="1:7">
      <c r="A38" s="607"/>
      <c r="B38" s="64"/>
      <c r="C38" s="73" t="s">
        <v>597</v>
      </c>
      <c r="D38" s="73"/>
      <c r="E38" s="76"/>
      <c r="F38" s="76"/>
      <c r="G38" s="76">
        <f>G36+G37</f>
        <v>404.8</v>
      </c>
    </row>
    <row r="39" spans="1:7">
      <c r="A39" s="589"/>
      <c r="B39" s="72"/>
      <c r="C39" s="73"/>
      <c r="D39" s="73"/>
      <c r="E39" s="70"/>
      <c r="F39" s="70"/>
      <c r="G39" s="70"/>
    </row>
    <row r="40" spans="1:7">
      <c r="A40" s="589"/>
      <c r="B40" s="64"/>
      <c r="C40" s="597" t="s">
        <v>598</v>
      </c>
      <c r="D40" s="64" t="s">
        <v>194</v>
      </c>
      <c r="E40" s="598" t="s">
        <v>591</v>
      </c>
      <c r="F40" s="598" t="s">
        <v>592</v>
      </c>
      <c r="G40" s="598" t="s">
        <v>593</v>
      </c>
    </row>
    <row r="41" spans="1:7">
      <c r="A41" s="589"/>
      <c r="B41" s="64"/>
      <c r="C41" s="80"/>
      <c r="D41" s="69" t="s">
        <v>604</v>
      </c>
      <c r="E41" s="612"/>
      <c r="F41" s="70"/>
      <c r="G41" s="70">
        <f>+E41*F41</f>
        <v>0</v>
      </c>
    </row>
    <row r="42" spans="1:7">
      <c r="A42" s="589"/>
      <c r="B42" s="64"/>
      <c r="C42" s="68"/>
      <c r="D42" s="69"/>
      <c r="E42" s="599"/>
      <c r="F42" s="91"/>
      <c r="G42" s="91"/>
    </row>
    <row r="43" spans="1:7">
      <c r="A43" s="589"/>
      <c r="B43" s="64"/>
      <c r="C43" s="73" t="s">
        <v>599</v>
      </c>
      <c r="D43" s="73"/>
      <c r="E43" s="76"/>
      <c r="F43" s="76"/>
      <c r="G43" s="76">
        <f>SUM(G41:G41)</f>
        <v>0</v>
      </c>
    </row>
    <row r="44" spans="1:7">
      <c r="A44" s="589"/>
      <c r="B44" s="64"/>
      <c r="C44" s="73"/>
      <c r="D44" s="73"/>
      <c r="E44" s="76"/>
      <c r="F44" s="76"/>
      <c r="G44" s="76"/>
    </row>
    <row r="45" spans="1:7">
      <c r="A45" s="589"/>
      <c r="B45" s="64"/>
      <c r="C45" s="73" t="s">
        <v>605</v>
      </c>
      <c r="D45" s="73"/>
      <c r="E45" s="76"/>
      <c r="F45" s="76"/>
      <c r="G45" s="76">
        <f>G38+G32</f>
        <v>897.07</v>
      </c>
    </row>
    <row r="46" spans="1:7">
      <c r="A46" s="613"/>
      <c r="B46" s="614"/>
      <c r="C46" s="615" t="s">
        <v>331</v>
      </c>
      <c r="D46" s="615"/>
      <c r="E46" s="616"/>
      <c r="F46" s="616"/>
      <c r="G46" s="617">
        <f>G45</f>
        <v>897.07</v>
      </c>
    </row>
    <row r="47" spans="1:7">
      <c r="A47" s="618"/>
      <c r="B47" s="579"/>
      <c r="C47" s="619"/>
      <c r="D47" s="619"/>
      <c r="E47" s="620"/>
      <c r="F47" s="620"/>
      <c r="G47" s="621"/>
    </row>
    <row r="48" spans="1:7" ht="24.75">
      <c r="A48" s="605" t="s">
        <v>606</v>
      </c>
      <c r="B48" s="622" t="s">
        <v>47</v>
      </c>
      <c r="C48" s="623" t="s">
        <v>280</v>
      </c>
      <c r="D48" s="624" t="s">
        <v>17</v>
      </c>
      <c r="E48" s="625"/>
      <c r="F48" s="626">
        <f>G68</f>
        <v>16.799999999999997</v>
      </c>
      <c r="G48" s="627">
        <f>F48*E48</f>
        <v>0</v>
      </c>
    </row>
    <row r="49" spans="1:7">
      <c r="A49" s="607"/>
      <c r="B49" s="64"/>
      <c r="C49" s="64" t="s">
        <v>590</v>
      </c>
      <c r="D49" s="64" t="s">
        <v>194</v>
      </c>
      <c r="E49" s="598" t="s">
        <v>591</v>
      </c>
      <c r="F49" s="598" t="s">
        <v>592</v>
      </c>
      <c r="G49" s="598" t="s">
        <v>593</v>
      </c>
    </row>
    <row r="50" spans="1:7">
      <c r="A50" s="607"/>
      <c r="B50" s="75"/>
      <c r="C50" s="68"/>
      <c r="D50" s="69"/>
      <c r="E50" s="628"/>
      <c r="F50" s="76">
        <f>M50</f>
        <v>0</v>
      </c>
      <c r="G50" s="76">
        <f>F50*E50</f>
        <v>0</v>
      </c>
    </row>
    <row r="51" spans="1:7">
      <c r="A51" s="607"/>
      <c r="B51" s="77"/>
      <c r="C51" s="68"/>
      <c r="D51" s="69"/>
      <c r="E51" s="608"/>
      <c r="F51" s="78"/>
      <c r="G51" s="82"/>
    </row>
    <row r="52" spans="1:7">
      <c r="A52" s="607"/>
      <c r="B52" s="77"/>
      <c r="C52" s="68"/>
      <c r="D52" s="69"/>
      <c r="E52" s="608"/>
      <c r="F52" s="78"/>
      <c r="G52" s="82"/>
    </row>
    <row r="53" spans="1:7">
      <c r="A53" s="607"/>
      <c r="B53" s="77"/>
      <c r="C53" s="68"/>
      <c r="D53" s="69"/>
      <c r="E53" s="608"/>
      <c r="F53" s="609"/>
      <c r="G53" s="82"/>
    </row>
    <row r="54" spans="1:7">
      <c r="A54" s="607"/>
      <c r="B54" s="64"/>
      <c r="C54" s="73" t="s">
        <v>594</v>
      </c>
      <c r="D54" s="73"/>
      <c r="E54" s="76"/>
      <c r="F54" s="82"/>
      <c r="G54" s="82">
        <f>SUM(G50:G50)</f>
        <v>0</v>
      </c>
    </row>
    <row r="55" spans="1:7">
      <c r="A55" s="607"/>
      <c r="B55" s="64"/>
      <c r="C55" s="64" t="s">
        <v>595</v>
      </c>
      <c r="D55" s="64" t="s">
        <v>194</v>
      </c>
      <c r="E55" s="598" t="s">
        <v>591</v>
      </c>
      <c r="F55" s="598" t="s">
        <v>592</v>
      </c>
      <c r="G55" s="598" t="s">
        <v>593</v>
      </c>
    </row>
    <row r="56" spans="1:7" ht="24.75">
      <c r="A56" s="67" t="s">
        <v>188</v>
      </c>
      <c r="B56" s="72">
        <v>88316</v>
      </c>
      <c r="C56" s="80" t="s">
        <v>202</v>
      </c>
      <c r="D56" s="69" t="s">
        <v>604</v>
      </c>
      <c r="E56" s="629">
        <v>1.5</v>
      </c>
      <c r="F56" s="79">
        <v>11.2</v>
      </c>
      <c r="G56" s="70">
        <f>+E56*F56</f>
        <v>16.799999999999997</v>
      </c>
    </row>
    <row r="57" spans="1:7">
      <c r="A57" s="607"/>
      <c r="B57" s="69"/>
      <c r="C57" s="630"/>
      <c r="D57" s="69"/>
      <c r="E57" s="628"/>
      <c r="F57" s="76"/>
      <c r="G57" s="76"/>
    </row>
    <row r="58" spans="1:7">
      <c r="A58" s="607"/>
      <c r="B58" s="64"/>
      <c r="C58" s="73" t="s">
        <v>253</v>
      </c>
      <c r="D58" s="69"/>
      <c r="E58" s="610"/>
      <c r="F58" s="76"/>
      <c r="G58" s="76">
        <f>SUM(G56:G57)</f>
        <v>16.799999999999997</v>
      </c>
    </row>
    <row r="59" spans="1:7">
      <c r="A59" s="607"/>
      <c r="B59" s="64"/>
      <c r="C59" s="73"/>
      <c r="D59" s="73"/>
      <c r="E59" s="610"/>
      <c r="F59" s="611"/>
      <c r="G59" s="76"/>
    </row>
    <row r="60" spans="1:7">
      <c r="A60" s="607"/>
      <c r="B60" s="64"/>
      <c r="C60" s="73" t="s">
        <v>597</v>
      </c>
      <c r="D60" s="73"/>
      <c r="E60" s="76"/>
      <c r="F60" s="76"/>
      <c r="G60" s="76">
        <f>G58+G59</f>
        <v>16.799999999999997</v>
      </c>
    </row>
    <row r="61" spans="1:7">
      <c r="A61" s="589"/>
      <c r="B61" s="72"/>
      <c r="C61" s="73"/>
      <c r="D61" s="73"/>
      <c r="E61" s="70"/>
      <c r="F61" s="70"/>
      <c r="G61" s="70"/>
    </row>
    <row r="62" spans="1:7">
      <c r="A62" s="589"/>
      <c r="B62" s="64"/>
      <c r="C62" s="597" t="s">
        <v>598</v>
      </c>
      <c r="D62" s="64" t="s">
        <v>194</v>
      </c>
      <c r="E62" s="598" t="s">
        <v>591</v>
      </c>
      <c r="F62" s="598" t="s">
        <v>592</v>
      </c>
      <c r="G62" s="598" t="s">
        <v>593</v>
      </c>
    </row>
    <row r="63" spans="1:7">
      <c r="A63" s="589"/>
      <c r="B63" s="64"/>
      <c r="C63" s="80"/>
      <c r="D63" s="69" t="s">
        <v>604</v>
      </c>
      <c r="E63" s="612"/>
      <c r="F63" s="70"/>
      <c r="G63" s="70">
        <f>+E63*F63</f>
        <v>0</v>
      </c>
    </row>
    <row r="64" spans="1:7">
      <c r="A64" s="589"/>
      <c r="B64" s="64"/>
      <c r="C64" s="68"/>
      <c r="D64" s="69"/>
      <c r="E64" s="599"/>
      <c r="F64" s="91"/>
      <c r="G64" s="91"/>
    </row>
    <row r="65" spans="1:13">
      <c r="A65" s="589"/>
      <c r="B65" s="64"/>
      <c r="C65" s="73" t="s">
        <v>599</v>
      </c>
      <c r="D65" s="73"/>
      <c r="E65" s="76"/>
      <c r="F65" s="76"/>
      <c r="G65" s="76">
        <f>SUM(G63:G63)</f>
        <v>0</v>
      </c>
    </row>
    <row r="66" spans="1:13">
      <c r="A66" s="589"/>
      <c r="B66" s="64"/>
      <c r="C66" s="73"/>
      <c r="D66" s="73"/>
      <c r="E66" s="76"/>
      <c r="F66" s="76"/>
      <c r="G66" s="76"/>
    </row>
    <row r="67" spans="1:13">
      <c r="A67" s="589"/>
      <c r="B67" s="64"/>
      <c r="C67" s="73" t="s">
        <v>605</v>
      </c>
      <c r="D67" s="73"/>
      <c r="E67" s="76"/>
      <c r="F67" s="76"/>
      <c r="G67" s="76">
        <f>G60+G54</f>
        <v>16.799999999999997</v>
      </c>
    </row>
    <row r="68" spans="1:13">
      <c r="A68" s="613"/>
      <c r="B68" s="614"/>
      <c r="C68" s="615" t="s">
        <v>331</v>
      </c>
      <c r="D68" s="615"/>
      <c r="E68" s="616"/>
      <c r="F68" s="616"/>
      <c r="G68" s="617">
        <f>G67</f>
        <v>16.799999999999997</v>
      </c>
    </row>
    <row r="69" spans="1:13">
      <c r="A69" s="618"/>
      <c r="B69" s="579"/>
      <c r="C69" s="619"/>
      <c r="D69" s="619"/>
      <c r="E69" s="620"/>
      <c r="F69" s="620"/>
      <c r="G69" s="621"/>
    </row>
    <row r="70" spans="1:13" ht="42.75" customHeight="1">
      <c r="A70" s="605" t="s">
        <v>607</v>
      </c>
      <c r="B70" s="622" t="s">
        <v>388</v>
      </c>
      <c r="C70" s="623" t="s">
        <v>286</v>
      </c>
      <c r="D70" s="624" t="s">
        <v>17</v>
      </c>
      <c r="E70" s="625"/>
      <c r="F70" s="626">
        <f>G92</f>
        <v>60.880869999999987</v>
      </c>
      <c r="G70" s="627">
        <f>F70*E70</f>
        <v>0</v>
      </c>
    </row>
    <row r="71" spans="1:13">
      <c r="A71" s="589"/>
      <c r="B71" s="72"/>
      <c r="C71" s="64" t="s">
        <v>590</v>
      </c>
      <c r="D71" s="64" t="s">
        <v>194</v>
      </c>
      <c r="E71" s="598" t="s">
        <v>591</v>
      </c>
      <c r="F71" s="598" t="s">
        <v>592</v>
      </c>
      <c r="G71" s="598" t="s">
        <v>593</v>
      </c>
    </row>
    <row r="72" spans="1:13" ht="24.75">
      <c r="A72" s="67" t="s">
        <v>184</v>
      </c>
      <c r="B72" s="72">
        <v>1347</v>
      </c>
      <c r="C72" s="81" t="s">
        <v>608</v>
      </c>
      <c r="D72" s="69" t="s">
        <v>17</v>
      </c>
      <c r="E72" s="592">
        <v>1.19</v>
      </c>
      <c r="F72" s="82">
        <v>22.87</v>
      </c>
      <c r="G72" s="76">
        <f>+E72*F72</f>
        <v>27.215299999999999</v>
      </c>
      <c r="J72" s="631" t="s">
        <v>609</v>
      </c>
      <c r="K72" s="575" t="s">
        <v>610</v>
      </c>
      <c r="L72" s="631" t="s">
        <v>611</v>
      </c>
    </row>
    <row r="73" spans="1:13" ht="24.75">
      <c r="A73" s="67" t="s">
        <v>184</v>
      </c>
      <c r="B73" s="72" t="s">
        <v>612</v>
      </c>
      <c r="C73" s="81" t="s">
        <v>613</v>
      </c>
      <c r="D73" s="69" t="s">
        <v>112</v>
      </c>
      <c r="E73" s="592">
        <v>0.16200000000000001</v>
      </c>
      <c r="F73" s="82">
        <v>5.42</v>
      </c>
      <c r="G73" s="76">
        <f>+E73*F73</f>
        <v>0.87804000000000004</v>
      </c>
      <c r="J73" s="632">
        <v>30.6</v>
      </c>
      <c r="K73" s="632">
        <v>44.4</v>
      </c>
      <c r="L73" s="632">
        <v>34</v>
      </c>
      <c r="M73" s="61">
        <f>(J73+K73+L73)/2</f>
        <v>54.5</v>
      </c>
    </row>
    <row r="74" spans="1:13" ht="24.75">
      <c r="A74" s="67" t="s">
        <v>184</v>
      </c>
      <c r="B74" s="72" t="s">
        <v>614</v>
      </c>
      <c r="C74" s="81" t="s">
        <v>615</v>
      </c>
      <c r="D74" s="69" t="s">
        <v>112</v>
      </c>
      <c r="E74" s="592">
        <v>7.734</v>
      </c>
      <c r="F74" s="82">
        <v>1.35</v>
      </c>
      <c r="G74" s="76">
        <f>+E74*F74</f>
        <v>10.440900000000001</v>
      </c>
      <c r="J74" s="632"/>
      <c r="K74" s="632"/>
      <c r="L74" s="632"/>
    </row>
    <row r="75" spans="1:13" ht="24.75">
      <c r="A75" s="67" t="s">
        <v>184</v>
      </c>
      <c r="B75" s="72" t="s">
        <v>616</v>
      </c>
      <c r="C75" s="81" t="s">
        <v>617</v>
      </c>
      <c r="D75" s="69" t="s">
        <v>291</v>
      </c>
      <c r="E75" s="592">
        <v>0.155</v>
      </c>
      <c r="F75" s="82">
        <v>9.2100000000000009</v>
      </c>
      <c r="G75" s="76">
        <f>+E75*F75</f>
        <v>1.4275500000000001</v>
      </c>
      <c r="J75" s="632"/>
      <c r="K75" s="632"/>
      <c r="L75" s="632"/>
    </row>
    <row r="76" spans="1:13">
      <c r="A76" s="589"/>
      <c r="B76" s="72"/>
      <c r="C76" s="73" t="s">
        <v>594</v>
      </c>
      <c r="D76" s="73"/>
      <c r="E76" s="76"/>
      <c r="F76" s="82"/>
      <c r="G76" s="82">
        <f>SUM(G72:G75)</f>
        <v>39.961789999999993</v>
      </c>
    </row>
    <row r="77" spans="1:13">
      <c r="A77" s="589"/>
      <c r="B77" s="72"/>
      <c r="C77" s="64" t="s">
        <v>595</v>
      </c>
      <c r="D77" s="64" t="s">
        <v>194</v>
      </c>
      <c r="E77" s="598" t="s">
        <v>591</v>
      </c>
      <c r="F77" s="598" t="s">
        <v>592</v>
      </c>
      <c r="G77" s="598" t="s">
        <v>593</v>
      </c>
    </row>
    <row r="78" spans="1:13" ht="24.75">
      <c r="A78" s="67" t="s">
        <v>188</v>
      </c>
      <c r="B78" s="72" t="s">
        <v>618</v>
      </c>
      <c r="C78" s="73" t="s">
        <v>619</v>
      </c>
      <c r="D78" s="69" t="s">
        <v>190</v>
      </c>
      <c r="E78" s="592">
        <v>0.222</v>
      </c>
      <c r="F78" s="70">
        <v>11.18</v>
      </c>
      <c r="G78" s="70">
        <f>+E78*F78</f>
        <v>2.4819599999999999</v>
      </c>
    </row>
    <row r="79" spans="1:13" ht="24.75">
      <c r="A79" s="67" t="s">
        <v>188</v>
      </c>
      <c r="B79" s="72" t="s">
        <v>620</v>
      </c>
      <c r="C79" s="73" t="s">
        <v>621</v>
      </c>
      <c r="D79" s="69" t="s">
        <v>190</v>
      </c>
      <c r="E79" s="592">
        <v>1.333</v>
      </c>
      <c r="F79" s="70">
        <v>13.76</v>
      </c>
      <c r="G79" s="70">
        <f>+E79*F79</f>
        <v>18.342079999999999</v>
      </c>
    </row>
    <row r="80" spans="1:13">
      <c r="A80" s="589"/>
      <c r="B80" s="72"/>
      <c r="C80" s="81"/>
      <c r="D80" s="69"/>
      <c r="E80" s="633"/>
      <c r="F80" s="82"/>
      <c r="G80" s="76"/>
    </row>
    <row r="81" spans="1:7">
      <c r="A81" s="589"/>
      <c r="B81" s="72"/>
      <c r="C81" s="73" t="s">
        <v>253</v>
      </c>
      <c r="D81" s="69"/>
      <c r="E81" s="610"/>
      <c r="F81" s="76"/>
      <c r="G81" s="76">
        <f>SUM(G78:G80)</f>
        <v>20.82404</v>
      </c>
    </row>
    <row r="82" spans="1:7">
      <c r="A82" s="589"/>
      <c r="B82" s="72"/>
      <c r="C82" s="73"/>
      <c r="D82" s="69"/>
      <c r="E82" s="610"/>
      <c r="F82" s="76"/>
      <c r="G82" s="76"/>
    </row>
    <row r="83" spans="1:7">
      <c r="A83" s="589"/>
      <c r="B83" s="72"/>
      <c r="C83" s="73" t="s">
        <v>597</v>
      </c>
      <c r="D83" s="73"/>
      <c r="E83" s="76"/>
      <c r="F83" s="76"/>
      <c r="G83" s="76">
        <f>G81</f>
        <v>20.82404</v>
      </c>
    </row>
    <row r="84" spans="1:7">
      <c r="A84" s="589"/>
      <c r="B84" s="72"/>
      <c r="C84" s="73"/>
      <c r="D84" s="73"/>
      <c r="E84" s="76"/>
      <c r="F84" s="76"/>
      <c r="G84" s="76"/>
    </row>
    <row r="85" spans="1:7">
      <c r="A85" s="589"/>
      <c r="B85" s="72"/>
      <c r="C85" s="73"/>
      <c r="D85" s="73"/>
      <c r="E85" s="70"/>
      <c r="F85" s="70"/>
      <c r="G85" s="70"/>
    </row>
    <row r="86" spans="1:7">
      <c r="A86" s="589"/>
      <c r="B86" s="72"/>
      <c r="C86" s="597" t="s">
        <v>598</v>
      </c>
      <c r="D86" s="64" t="s">
        <v>194</v>
      </c>
      <c r="E86" s="598" t="s">
        <v>591</v>
      </c>
      <c r="F86" s="598" t="s">
        <v>592</v>
      </c>
      <c r="G86" s="598" t="s">
        <v>593</v>
      </c>
    </row>
    <row r="87" spans="1:7" ht="24.75">
      <c r="A87" s="67" t="s">
        <v>188</v>
      </c>
      <c r="B87" s="72" t="s">
        <v>622</v>
      </c>
      <c r="C87" s="80" t="s">
        <v>623</v>
      </c>
      <c r="D87" s="69" t="s">
        <v>624</v>
      </c>
      <c r="E87" s="592">
        <v>5.3999999999999999E-2</v>
      </c>
      <c r="F87" s="70">
        <v>1.76</v>
      </c>
      <c r="G87" s="70">
        <f>+E87*F87</f>
        <v>9.5039999999999999E-2</v>
      </c>
    </row>
    <row r="88" spans="1:7" ht="24.75">
      <c r="A88" s="67" t="s">
        <v>188</v>
      </c>
      <c r="B88" s="72" t="s">
        <v>625</v>
      </c>
      <c r="C88" s="68" t="s">
        <v>626</v>
      </c>
      <c r="D88" s="69" t="s">
        <v>627</v>
      </c>
      <c r="E88" s="592">
        <v>0.16900000000000001</v>
      </c>
      <c r="F88" s="91">
        <v>0.04</v>
      </c>
      <c r="G88" s="70">
        <f>+E88*F88</f>
        <v>6.7600000000000004E-3</v>
      </c>
    </row>
    <row r="89" spans="1:7">
      <c r="A89" s="589"/>
      <c r="B89" s="72"/>
      <c r="C89" s="73" t="s">
        <v>599</v>
      </c>
      <c r="D89" s="73"/>
      <c r="E89" s="76"/>
      <c r="F89" s="76"/>
      <c r="G89" s="76">
        <f>SUM(G87:G87)</f>
        <v>9.5039999999999999E-2</v>
      </c>
    </row>
    <row r="90" spans="1:7">
      <c r="A90" s="589"/>
      <c r="B90" s="72"/>
      <c r="C90" s="73"/>
      <c r="D90" s="73"/>
      <c r="E90" s="76"/>
      <c r="F90" s="76"/>
      <c r="G90" s="76"/>
    </row>
    <row r="91" spans="1:7">
      <c r="A91" s="589"/>
      <c r="B91" s="72"/>
      <c r="C91" s="73" t="s">
        <v>605</v>
      </c>
      <c r="D91" s="73"/>
      <c r="E91" s="76"/>
      <c r="F91" s="76"/>
      <c r="G91" s="76">
        <f>G76+G89+G83</f>
        <v>60.880869999999987</v>
      </c>
    </row>
    <row r="92" spans="1:7">
      <c r="A92" s="589"/>
      <c r="B92" s="72"/>
      <c r="C92" s="73" t="s">
        <v>331</v>
      </c>
      <c r="D92" s="73"/>
      <c r="E92" s="76"/>
      <c r="F92" s="76"/>
      <c r="G92" s="634">
        <f>G91</f>
        <v>60.880869999999987</v>
      </c>
    </row>
    <row r="93" spans="1:7">
      <c r="A93" s="613"/>
      <c r="B93" s="614"/>
      <c r="C93" s="615"/>
      <c r="D93" s="615"/>
      <c r="E93" s="616"/>
      <c r="F93" s="616"/>
      <c r="G93" s="617"/>
    </row>
    <row r="94" spans="1:7">
      <c r="A94" s="618"/>
      <c r="B94" s="579"/>
      <c r="C94" s="619"/>
      <c r="D94" s="619"/>
      <c r="E94" s="620"/>
      <c r="F94" s="620"/>
      <c r="G94" s="621"/>
    </row>
    <row r="95" spans="1:7" ht="42.75" customHeight="1">
      <c r="A95" s="605" t="s">
        <v>628</v>
      </c>
      <c r="B95" s="622" t="s">
        <v>396</v>
      </c>
      <c r="C95" s="623" t="s">
        <v>288</v>
      </c>
      <c r="D95" s="624" t="s">
        <v>17</v>
      </c>
      <c r="E95" s="625"/>
      <c r="F95" s="626">
        <f>G118</f>
        <v>27.497700000000002</v>
      </c>
      <c r="G95" s="627">
        <f>F95*E95</f>
        <v>0</v>
      </c>
    </row>
    <row r="96" spans="1:7">
      <c r="A96" s="589"/>
      <c r="B96" s="72"/>
      <c r="C96" s="64" t="s">
        <v>590</v>
      </c>
      <c r="D96" s="64" t="s">
        <v>194</v>
      </c>
      <c r="E96" s="598" t="s">
        <v>591</v>
      </c>
      <c r="F96" s="598" t="s">
        <v>592</v>
      </c>
      <c r="G96" s="598" t="s">
        <v>593</v>
      </c>
    </row>
    <row r="97" spans="1:13" ht="24.75">
      <c r="A97" s="67" t="s">
        <v>184</v>
      </c>
      <c r="B97" s="72" t="s">
        <v>629</v>
      </c>
      <c r="C97" s="81" t="s">
        <v>630</v>
      </c>
      <c r="D97" s="69" t="s">
        <v>475</v>
      </c>
      <c r="E97" s="592">
        <v>0.01</v>
      </c>
      <c r="F97" s="82">
        <v>5.89</v>
      </c>
      <c r="G97" s="76">
        <f>+E97*F97</f>
        <v>5.8900000000000001E-2</v>
      </c>
      <c r="J97" s="631" t="s">
        <v>609</v>
      </c>
      <c r="K97" s="575" t="s">
        <v>610</v>
      </c>
      <c r="L97" s="631" t="s">
        <v>611</v>
      </c>
    </row>
    <row r="98" spans="1:13" ht="24.75">
      <c r="A98" s="67" t="s">
        <v>184</v>
      </c>
      <c r="B98" s="72" t="s">
        <v>631</v>
      </c>
      <c r="C98" s="81" t="s">
        <v>632</v>
      </c>
      <c r="D98" s="69" t="s">
        <v>633</v>
      </c>
      <c r="E98" s="592">
        <v>3.7999999999999999E-2</v>
      </c>
      <c r="F98" s="82">
        <v>5.47</v>
      </c>
      <c r="G98" s="76">
        <f>+E98*F98</f>
        <v>0.20785999999999999</v>
      </c>
      <c r="J98" s="631"/>
      <c r="L98" s="631"/>
    </row>
    <row r="99" spans="1:13" ht="24.75">
      <c r="A99" s="67" t="s">
        <v>184</v>
      </c>
      <c r="B99" s="72" t="s">
        <v>634</v>
      </c>
      <c r="C99" s="81" t="s">
        <v>635</v>
      </c>
      <c r="D99" s="69" t="s">
        <v>633</v>
      </c>
      <c r="E99" s="592">
        <v>0.15</v>
      </c>
      <c r="F99" s="82">
        <v>0.9</v>
      </c>
      <c r="G99" s="76">
        <f>+E99*F99</f>
        <v>0.13500000000000001</v>
      </c>
      <c r="J99" s="631"/>
      <c r="L99" s="631"/>
    </row>
    <row r="100" spans="1:13" ht="24.75">
      <c r="A100" s="67" t="s">
        <v>184</v>
      </c>
      <c r="B100" s="72" t="s">
        <v>636</v>
      </c>
      <c r="C100" s="81" t="s">
        <v>637</v>
      </c>
      <c r="D100" s="69" t="s">
        <v>291</v>
      </c>
      <c r="E100" s="592">
        <v>1.9E-2</v>
      </c>
      <c r="F100" s="82">
        <v>9.44</v>
      </c>
      <c r="G100" s="76">
        <f>+E100*F100</f>
        <v>0.17935999999999999</v>
      </c>
      <c r="J100" s="632">
        <v>30.6</v>
      </c>
      <c r="K100" s="632">
        <v>44.4</v>
      </c>
      <c r="L100" s="632">
        <v>34</v>
      </c>
      <c r="M100" s="61">
        <f>(J100+K100+L100)/2</f>
        <v>54.5</v>
      </c>
    </row>
    <row r="101" spans="1:13" ht="33.75">
      <c r="A101" s="67" t="s">
        <v>184</v>
      </c>
      <c r="B101" s="72" t="s">
        <v>638</v>
      </c>
      <c r="C101" s="81" t="s">
        <v>639</v>
      </c>
      <c r="D101" s="69" t="s">
        <v>633</v>
      </c>
      <c r="E101" s="592">
        <v>0.06</v>
      </c>
      <c r="F101" s="82">
        <v>1.94</v>
      </c>
      <c r="G101" s="76">
        <f>+E101*F101</f>
        <v>0.11639999999999999</v>
      </c>
      <c r="J101" s="632"/>
      <c r="K101" s="632"/>
      <c r="L101" s="632"/>
    </row>
    <row r="102" spans="1:13">
      <c r="A102" s="589"/>
      <c r="B102" s="72"/>
      <c r="C102" s="73" t="s">
        <v>594</v>
      </c>
      <c r="D102" s="73"/>
      <c r="E102" s="76"/>
      <c r="F102" s="82"/>
      <c r="G102" s="82">
        <f>SUM(G97:G101)</f>
        <v>0.69751999999999992</v>
      </c>
    </row>
    <row r="103" spans="1:13">
      <c r="A103" s="589"/>
      <c r="B103" s="72"/>
      <c r="C103" s="64" t="s">
        <v>595</v>
      </c>
      <c r="D103" s="64" t="s">
        <v>194</v>
      </c>
      <c r="E103" s="598" t="s">
        <v>591</v>
      </c>
      <c r="F103" s="598" t="s">
        <v>592</v>
      </c>
      <c r="G103" s="598" t="s">
        <v>593</v>
      </c>
    </row>
    <row r="104" spans="1:13" ht="24.75">
      <c r="A104" s="67" t="s">
        <v>188</v>
      </c>
      <c r="B104" s="72" t="s">
        <v>618</v>
      </c>
      <c r="C104" s="73" t="s">
        <v>619</v>
      </c>
      <c r="D104" s="69" t="s">
        <v>190</v>
      </c>
      <c r="E104" s="592">
        <v>0.311</v>
      </c>
      <c r="F104" s="70">
        <v>11.18</v>
      </c>
      <c r="G104" s="70">
        <f>+E104*F104</f>
        <v>3.4769799999999997</v>
      </c>
    </row>
    <row r="105" spans="1:13" ht="24.75">
      <c r="A105" s="67" t="s">
        <v>188</v>
      </c>
      <c r="B105" s="72" t="s">
        <v>620</v>
      </c>
      <c r="C105" s="73" t="s">
        <v>621</v>
      </c>
      <c r="D105" s="69" t="s">
        <v>190</v>
      </c>
      <c r="E105" s="592">
        <v>1.6950000000000001</v>
      </c>
      <c r="F105" s="70">
        <v>13.76</v>
      </c>
      <c r="G105" s="70">
        <f>+E105*F105</f>
        <v>23.3232</v>
      </c>
    </row>
    <row r="106" spans="1:13">
      <c r="A106" s="589"/>
      <c r="B106" s="72"/>
      <c r="C106" s="81"/>
      <c r="D106" s="69"/>
      <c r="E106" s="633"/>
      <c r="F106" s="82"/>
      <c r="G106" s="76"/>
    </row>
    <row r="107" spans="1:13">
      <c r="A107" s="589"/>
      <c r="B107" s="72"/>
      <c r="C107" s="73" t="s">
        <v>253</v>
      </c>
      <c r="D107" s="69"/>
      <c r="E107" s="610"/>
      <c r="F107" s="76"/>
      <c r="G107" s="76">
        <f>SUM(G104:G106)</f>
        <v>26.800180000000001</v>
      </c>
    </row>
    <row r="108" spans="1:13">
      <c r="A108" s="589"/>
      <c r="B108" s="72"/>
      <c r="C108" s="73"/>
      <c r="D108" s="69"/>
      <c r="E108" s="610"/>
      <c r="F108" s="76"/>
      <c r="G108" s="76"/>
    </row>
    <row r="109" spans="1:13">
      <c r="A109" s="589"/>
      <c r="B109" s="72"/>
      <c r="C109" s="73" t="s">
        <v>597</v>
      </c>
      <c r="D109" s="73"/>
      <c r="E109" s="76"/>
      <c r="F109" s="76"/>
      <c r="G109" s="76">
        <f>G107</f>
        <v>26.800180000000001</v>
      </c>
    </row>
    <row r="110" spans="1:13">
      <c r="A110" s="589"/>
      <c r="B110" s="72"/>
      <c r="C110" s="73"/>
      <c r="D110" s="73"/>
      <c r="E110" s="76"/>
      <c r="F110" s="76"/>
      <c r="G110" s="76"/>
    </row>
    <row r="111" spans="1:13">
      <c r="A111" s="589"/>
      <c r="B111" s="72"/>
      <c r="C111" s="73"/>
      <c r="D111" s="73"/>
      <c r="E111" s="70"/>
      <c r="F111" s="70"/>
      <c r="G111" s="70"/>
    </row>
    <row r="112" spans="1:13">
      <c r="A112" s="589"/>
      <c r="B112" s="72"/>
      <c r="C112" s="597" t="s">
        <v>598</v>
      </c>
      <c r="D112" s="64" t="s">
        <v>194</v>
      </c>
      <c r="E112" s="598" t="s">
        <v>591</v>
      </c>
      <c r="F112" s="598" t="s">
        <v>592</v>
      </c>
      <c r="G112" s="598" t="s">
        <v>593</v>
      </c>
    </row>
    <row r="113" spans="1:12">
      <c r="A113" s="67"/>
      <c r="B113" s="72"/>
      <c r="C113" s="80"/>
      <c r="D113" s="69"/>
      <c r="E113" s="592"/>
      <c r="F113" s="70"/>
      <c r="G113" s="70">
        <f>+E113*F113</f>
        <v>0</v>
      </c>
    </row>
    <row r="114" spans="1:12">
      <c r="A114" s="67"/>
      <c r="B114" s="72"/>
      <c r="C114" s="68"/>
      <c r="D114" s="69"/>
      <c r="E114" s="592"/>
      <c r="F114" s="91"/>
      <c r="G114" s="70">
        <f>+E114*F114</f>
        <v>0</v>
      </c>
    </row>
    <row r="115" spans="1:12">
      <c r="A115" s="589"/>
      <c r="B115" s="72"/>
      <c r="C115" s="73" t="s">
        <v>599</v>
      </c>
      <c r="D115" s="73"/>
      <c r="E115" s="76"/>
      <c r="F115" s="76"/>
      <c r="G115" s="76">
        <f>SUM(G113:G113)</f>
        <v>0</v>
      </c>
    </row>
    <row r="116" spans="1:12">
      <c r="A116" s="589"/>
      <c r="B116" s="72"/>
      <c r="C116" s="73"/>
      <c r="D116" s="73"/>
      <c r="E116" s="76"/>
      <c r="F116" s="76"/>
      <c r="G116" s="76"/>
    </row>
    <row r="117" spans="1:12">
      <c r="A117" s="589"/>
      <c r="B117" s="72"/>
      <c r="C117" s="73" t="s">
        <v>605</v>
      </c>
      <c r="D117" s="73"/>
      <c r="E117" s="76"/>
      <c r="F117" s="76"/>
      <c r="G117" s="76">
        <f>G102+G115+G109</f>
        <v>27.497700000000002</v>
      </c>
    </row>
    <row r="118" spans="1:12">
      <c r="A118" s="589"/>
      <c r="B118" s="72"/>
      <c r="C118" s="73" t="s">
        <v>331</v>
      </c>
      <c r="D118" s="73"/>
      <c r="E118" s="76"/>
      <c r="F118" s="76"/>
      <c r="G118" s="634">
        <f>G117</f>
        <v>27.497700000000002</v>
      </c>
    </row>
    <row r="119" spans="1:12">
      <c r="A119" s="613"/>
      <c r="B119" s="614"/>
      <c r="C119" s="615"/>
      <c r="D119" s="615"/>
      <c r="E119" s="616"/>
      <c r="F119" s="616"/>
      <c r="G119" s="617"/>
    </row>
    <row r="120" spans="1:12">
      <c r="A120" s="618"/>
      <c r="B120" s="579"/>
      <c r="C120" s="619"/>
      <c r="D120" s="619"/>
      <c r="E120" s="620"/>
      <c r="F120" s="620"/>
      <c r="G120" s="621"/>
    </row>
    <row r="121" spans="1:12" ht="33.75">
      <c r="A121" s="605" t="s">
        <v>640</v>
      </c>
      <c r="B121" s="622" t="s">
        <v>397</v>
      </c>
      <c r="C121" s="623" t="s">
        <v>290</v>
      </c>
      <c r="D121" s="624" t="s">
        <v>291</v>
      </c>
      <c r="E121" s="625"/>
      <c r="F121" s="626">
        <f>G142</f>
        <v>10.152878000000001</v>
      </c>
      <c r="G121" s="627">
        <f>F121*E121</f>
        <v>0</v>
      </c>
    </row>
    <row r="122" spans="1:12">
      <c r="A122" s="589"/>
      <c r="B122" s="72"/>
      <c r="C122" s="64" t="s">
        <v>590</v>
      </c>
      <c r="D122" s="64" t="s">
        <v>194</v>
      </c>
      <c r="E122" s="598" t="s">
        <v>591</v>
      </c>
      <c r="F122" s="598" t="s">
        <v>592</v>
      </c>
      <c r="G122" s="598" t="s">
        <v>593</v>
      </c>
    </row>
    <row r="123" spans="1:12" ht="24.75">
      <c r="A123" s="67" t="s">
        <v>188</v>
      </c>
      <c r="B123" s="72" t="s">
        <v>641</v>
      </c>
      <c r="C123" s="81" t="s">
        <v>642</v>
      </c>
      <c r="D123" s="69" t="s">
        <v>291</v>
      </c>
      <c r="E123" s="592">
        <v>1</v>
      </c>
      <c r="F123" s="82">
        <v>7.15</v>
      </c>
      <c r="G123" s="76">
        <f>+E123*F123</f>
        <v>7.15</v>
      </c>
      <c r="J123" s="631" t="s">
        <v>609</v>
      </c>
      <c r="K123" s="575" t="s">
        <v>610</v>
      </c>
      <c r="L123" s="631" t="s">
        <v>611</v>
      </c>
    </row>
    <row r="124" spans="1:12" ht="24.75">
      <c r="A124" s="67" t="s">
        <v>184</v>
      </c>
      <c r="B124" s="72" t="s">
        <v>643</v>
      </c>
      <c r="C124" s="81" t="s">
        <v>644</v>
      </c>
      <c r="D124" s="69" t="s">
        <v>291</v>
      </c>
      <c r="E124" s="592">
        <v>2.5000000000000001E-2</v>
      </c>
      <c r="F124" s="82">
        <v>7.49</v>
      </c>
      <c r="G124" s="76">
        <f>+E124*F124</f>
        <v>0.18725000000000003</v>
      </c>
      <c r="J124" s="631"/>
      <c r="L124" s="631"/>
    </row>
    <row r="125" spans="1:12" ht="24.75">
      <c r="A125" s="67" t="s">
        <v>184</v>
      </c>
      <c r="B125" s="72" t="s">
        <v>645</v>
      </c>
      <c r="C125" s="81" t="s">
        <v>646</v>
      </c>
      <c r="D125" s="69" t="s">
        <v>30</v>
      </c>
      <c r="E125" s="592">
        <v>0.97</v>
      </c>
      <c r="F125" s="82">
        <v>0.15</v>
      </c>
      <c r="G125" s="76">
        <f>+E125*F125</f>
        <v>0.14549999999999999</v>
      </c>
      <c r="J125" s="631"/>
      <c r="L125" s="631"/>
    </row>
    <row r="126" spans="1:12">
      <c r="A126" s="589"/>
      <c r="B126" s="72"/>
      <c r="C126" s="73" t="s">
        <v>594</v>
      </c>
      <c r="D126" s="73"/>
      <c r="E126" s="76"/>
      <c r="F126" s="82"/>
      <c r="G126" s="82">
        <f>SUM(G123:G125)</f>
        <v>7.4827500000000002</v>
      </c>
    </row>
    <row r="127" spans="1:12">
      <c r="A127" s="589"/>
      <c r="B127" s="72"/>
      <c r="C127" s="64" t="s">
        <v>595</v>
      </c>
      <c r="D127" s="64" t="s">
        <v>194</v>
      </c>
      <c r="E127" s="598" t="s">
        <v>591</v>
      </c>
      <c r="F127" s="598" t="s">
        <v>592</v>
      </c>
      <c r="G127" s="598" t="s">
        <v>593</v>
      </c>
    </row>
    <row r="128" spans="1:12" ht="24.75">
      <c r="A128" s="67" t="s">
        <v>188</v>
      </c>
      <c r="B128" s="72" t="s">
        <v>647</v>
      </c>
      <c r="C128" s="73" t="s">
        <v>648</v>
      </c>
      <c r="D128" s="69" t="s">
        <v>190</v>
      </c>
      <c r="E128" s="592">
        <v>2.8000000000000001E-2</v>
      </c>
      <c r="F128" s="70">
        <v>11.18</v>
      </c>
      <c r="G128" s="70">
        <f>+E128*F128</f>
        <v>0.31303999999999998</v>
      </c>
    </row>
    <row r="129" spans="1:7" ht="24.75">
      <c r="A129" s="67" t="s">
        <v>188</v>
      </c>
      <c r="B129" s="72" t="s">
        <v>649</v>
      </c>
      <c r="C129" s="73" t="s">
        <v>650</v>
      </c>
      <c r="D129" s="69" t="s">
        <v>190</v>
      </c>
      <c r="E129" s="592">
        <v>0.17130000000000001</v>
      </c>
      <c r="F129" s="70">
        <v>13.76</v>
      </c>
      <c r="G129" s="70">
        <f>+E129*F129</f>
        <v>2.3570880000000001</v>
      </c>
    </row>
    <row r="130" spans="1:7">
      <c r="A130" s="589"/>
      <c r="B130" s="72"/>
      <c r="C130" s="81"/>
      <c r="D130" s="69"/>
      <c r="E130" s="633"/>
      <c r="F130" s="82"/>
      <c r="G130" s="76"/>
    </row>
    <row r="131" spans="1:7">
      <c r="A131" s="589"/>
      <c r="B131" s="72"/>
      <c r="C131" s="73" t="s">
        <v>253</v>
      </c>
      <c r="D131" s="69"/>
      <c r="E131" s="610"/>
      <c r="F131" s="76"/>
      <c r="G131" s="76">
        <f>SUM(G128:G130)</f>
        <v>2.6701280000000001</v>
      </c>
    </row>
    <row r="132" spans="1:7">
      <c r="A132" s="589"/>
      <c r="B132" s="72"/>
      <c r="C132" s="73"/>
      <c r="D132" s="69"/>
      <c r="E132" s="610"/>
      <c r="F132" s="76"/>
      <c r="G132" s="76"/>
    </row>
    <row r="133" spans="1:7">
      <c r="A133" s="589"/>
      <c r="B133" s="72"/>
      <c r="C133" s="73" t="s">
        <v>597</v>
      </c>
      <c r="D133" s="73"/>
      <c r="E133" s="76"/>
      <c r="F133" s="76"/>
      <c r="G133" s="76">
        <f>G131</f>
        <v>2.6701280000000001</v>
      </c>
    </row>
    <row r="134" spans="1:7">
      <c r="A134" s="589"/>
      <c r="B134" s="72"/>
      <c r="C134" s="73"/>
      <c r="D134" s="73"/>
      <c r="E134" s="76"/>
      <c r="F134" s="76"/>
      <c r="G134" s="76"/>
    </row>
    <row r="135" spans="1:7">
      <c r="A135" s="589"/>
      <c r="B135" s="72"/>
      <c r="C135" s="73"/>
      <c r="D135" s="73"/>
      <c r="E135" s="70"/>
      <c r="F135" s="70"/>
      <c r="G135" s="70"/>
    </row>
    <row r="136" spans="1:7">
      <c r="A136" s="589"/>
      <c r="B136" s="72"/>
      <c r="C136" s="597" t="s">
        <v>598</v>
      </c>
      <c r="D136" s="64" t="s">
        <v>194</v>
      </c>
      <c r="E136" s="598" t="s">
        <v>591</v>
      </c>
      <c r="F136" s="598" t="s">
        <v>592</v>
      </c>
      <c r="G136" s="598" t="s">
        <v>593</v>
      </c>
    </row>
    <row r="137" spans="1:7">
      <c r="A137" s="67"/>
      <c r="B137" s="72"/>
      <c r="C137" s="80"/>
      <c r="D137" s="69"/>
      <c r="E137" s="592"/>
      <c r="F137" s="70"/>
      <c r="G137" s="70">
        <f>+E137*F137</f>
        <v>0</v>
      </c>
    </row>
    <row r="138" spans="1:7">
      <c r="A138" s="67"/>
      <c r="B138" s="72"/>
      <c r="C138" s="68"/>
      <c r="D138" s="69"/>
      <c r="E138" s="592"/>
      <c r="F138" s="91"/>
      <c r="G138" s="70">
        <f>+E138*F138</f>
        <v>0</v>
      </c>
    </row>
    <row r="139" spans="1:7">
      <c r="A139" s="589"/>
      <c r="B139" s="72"/>
      <c r="C139" s="73" t="s">
        <v>599</v>
      </c>
      <c r="D139" s="73"/>
      <c r="E139" s="76"/>
      <c r="F139" s="76"/>
      <c r="G139" s="76">
        <f>SUM(G137:G137)</f>
        <v>0</v>
      </c>
    </row>
    <row r="140" spans="1:7">
      <c r="A140" s="589"/>
      <c r="B140" s="72"/>
      <c r="C140" s="73"/>
      <c r="D140" s="73"/>
      <c r="E140" s="76"/>
      <c r="F140" s="76"/>
      <c r="G140" s="76"/>
    </row>
    <row r="141" spans="1:7">
      <c r="A141" s="589"/>
      <c r="B141" s="72"/>
      <c r="C141" s="73" t="s">
        <v>605</v>
      </c>
      <c r="D141" s="73"/>
      <c r="E141" s="76"/>
      <c r="F141" s="76"/>
      <c r="G141" s="76">
        <f>G126+G139+G133</f>
        <v>10.152878000000001</v>
      </c>
    </row>
    <row r="142" spans="1:7">
      <c r="A142" s="589"/>
      <c r="B142" s="72"/>
      <c r="C142" s="73" t="s">
        <v>331</v>
      </c>
      <c r="D142" s="73"/>
      <c r="E142" s="76"/>
      <c r="F142" s="76"/>
      <c r="G142" s="634">
        <f>G141</f>
        <v>10.152878000000001</v>
      </c>
    </row>
    <row r="143" spans="1:7">
      <c r="A143" s="613"/>
      <c r="B143" s="614"/>
      <c r="C143" s="615"/>
      <c r="D143" s="615"/>
      <c r="E143" s="616"/>
      <c r="F143" s="616"/>
      <c r="G143" s="617"/>
    </row>
    <row r="144" spans="1:7" ht="12" customHeight="1">
      <c r="A144" s="618"/>
      <c r="B144" s="579"/>
      <c r="C144" s="619"/>
      <c r="D144" s="619"/>
      <c r="E144" s="620"/>
      <c r="F144" s="620"/>
      <c r="G144" s="621"/>
    </row>
    <row r="145" spans="1:12" ht="33.75">
      <c r="A145" s="605" t="s">
        <v>651</v>
      </c>
      <c r="B145" s="622" t="s">
        <v>405</v>
      </c>
      <c r="C145" s="623" t="s">
        <v>293</v>
      </c>
      <c r="D145" s="624" t="s">
        <v>291</v>
      </c>
      <c r="E145" s="625"/>
      <c r="F145" s="626">
        <f>G166</f>
        <v>9.2028780000000001</v>
      </c>
      <c r="G145" s="627">
        <f>F145*E145</f>
        <v>0</v>
      </c>
    </row>
    <row r="146" spans="1:12">
      <c r="A146" s="589"/>
      <c r="B146" s="72"/>
      <c r="C146" s="64" t="s">
        <v>590</v>
      </c>
      <c r="D146" s="64" t="s">
        <v>194</v>
      </c>
      <c r="E146" s="598" t="s">
        <v>591</v>
      </c>
      <c r="F146" s="598" t="s">
        <v>592</v>
      </c>
      <c r="G146" s="598" t="s">
        <v>593</v>
      </c>
    </row>
    <row r="147" spans="1:12" ht="24.75">
      <c r="A147" s="67" t="s">
        <v>188</v>
      </c>
      <c r="B147" s="72" t="s">
        <v>652</v>
      </c>
      <c r="C147" s="81" t="s">
        <v>653</v>
      </c>
      <c r="D147" s="69" t="s">
        <v>291</v>
      </c>
      <c r="E147" s="592">
        <v>1</v>
      </c>
      <c r="F147" s="82">
        <v>6.2</v>
      </c>
      <c r="G147" s="76">
        <f>+E147*F147</f>
        <v>6.2</v>
      </c>
      <c r="J147" s="631" t="s">
        <v>609</v>
      </c>
      <c r="K147" s="575" t="s">
        <v>610</v>
      </c>
      <c r="L147" s="631" t="s">
        <v>611</v>
      </c>
    </row>
    <row r="148" spans="1:12" ht="24.75">
      <c r="A148" s="67" t="s">
        <v>184</v>
      </c>
      <c r="B148" s="72" t="s">
        <v>643</v>
      </c>
      <c r="C148" s="81" t="s">
        <v>644</v>
      </c>
      <c r="D148" s="69" t="s">
        <v>291</v>
      </c>
      <c r="E148" s="592">
        <v>2.5000000000000001E-2</v>
      </c>
      <c r="F148" s="82">
        <v>7.49</v>
      </c>
      <c r="G148" s="76">
        <f>+E148*F148</f>
        <v>0.18725000000000003</v>
      </c>
      <c r="J148" s="631"/>
      <c r="L148" s="631"/>
    </row>
    <row r="149" spans="1:12" ht="24.75">
      <c r="A149" s="67" t="s">
        <v>184</v>
      </c>
      <c r="B149" s="72" t="s">
        <v>645</v>
      </c>
      <c r="C149" s="81" t="s">
        <v>646</v>
      </c>
      <c r="D149" s="69" t="s">
        <v>30</v>
      </c>
      <c r="E149" s="592">
        <v>0.97</v>
      </c>
      <c r="F149" s="82">
        <v>0.15</v>
      </c>
      <c r="G149" s="76">
        <f>+E149*F149</f>
        <v>0.14549999999999999</v>
      </c>
      <c r="J149" s="631"/>
      <c r="L149" s="631"/>
    </row>
    <row r="150" spans="1:12">
      <c r="A150" s="589"/>
      <c r="B150" s="72"/>
      <c r="C150" s="73" t="s">
        <v>594</v>
      </c>
      <c r="D150" s="73"/>
      <c r="E150" s="76"/>
      <c r="F150" s="82"/>
      <c r="G150" s="82">
        <f>SUM(G147:G149)</f>
        <v>6.5327500000000001</v>
      </c>
    </row>
    <row r="151" spans="1:12">
      <c r="A151" s="589"/>
      <c r="B151" s="72"/>
      <c r="C151" s="64" t="s">
        <v>595</v>
      </c>
      <c r="D151" s="64" t="s">
        <v>194</v>
      </c>
      <c r="E151" s="598" t="s">
        <v>591</v>
      </c>
      <c r="F151" s="598" t="s">
        <v>592</v>
      </c>
      <c r="G151" s="598" t="s">
        <v>593</v>
      </c>
    </row>
    <row r="152" spans="1:12" ht="24.75">
      <c r="A152" s="67" t="s">
        <v>188</v>
      </c>
      <c r="B152" s="72" t="s">
        <v>647</v>
      </c>
      <c r="C152" s="73" t="s">
        <v>648</v>
      </c>
      <c r="D152" s="69" t="s">
        <v>190</v>
      </c>
      <c r="E152" s="592">
        <v>2.8000000000000001E-2</v>
      </c>
      <c r="F152" s="70">
        <v>11.18</v>
      </c>
      <c r="G152" s="70">
        <f>+E152*F152</f>
        <v>0.31303999999999998</v>
      </c>
    </row>
    <row r="153" spans="1:12" ht="24.75">
      <c r="A153" s="67" t="s">
        <v>188</v>
      </c>
      <c r="B153" s="72" t="s">
        <v>649</v>
      </c>
      <c r="C153" s="73" t="s">
        <v>650</v>
      </c>
      <c r="D153" s="69" t="s">
        <v>190</v>
      </c>
      <c r="E153" s="592">
        <v>0.17130000000000001</v>
      </c>
      <c r="F153" s="70">
        <v>13.76</v>
      </c>
      <c r="G153" s="70">
        <f>+E153*F153</f>
        <v>2.3570880000000001</v>
      </c>
    </row>
    <row r="154" spans="1:12">
      <c r="A154" s="589"/>
      <c r="B154" s="72"/>
      <c r="C154" s="81"/>
      <c r="D154" s="69"/>
      <c r="E154" s="633"/>
      <c r="F154" s="82"/>
      <c r="G154" s="76"/>
    </row>
    <row r="155" spans="1:12">
      <c r="A155" s="589"/>
      <c r="B155" s="72"/>
      <c r="C155" s="73" t="s">
        <v>253</v>
      </c>
      <c r="D155" s="69"/>
      <c r="E155" s="610"/>
      <c r="F155" s="76"/>
      <c r="G155" s="76">
        <f>SUM(G152:G154)</f>
        <v>2.6701280000000001</v>
      </c>
    </row>
    <row r="156" spans="1:12">
      <c r="A156" s="589"/>
      <c r="B156" s="72"/>
      <c r="C156" s="73"/>
      <c r="D156" s="69"/>
      <c r="E156" s="610"/>
      <c r="F156" s="76"/>
      <c r="G156" s="76"/>
    </row>
    <row r="157" spans="1:12">
      <c r="A157" s="589"/>
      <c r="B157" s="72"/>
      <c r="C157" s="73" t="s">
        <v>597</v>
      </c>
      <c r="D157" s="73"/>
      <c r="E157" s="76"/>
      <c r="F157" s="76"/>
      <c r="G157" s="76">
        <f>G155</f>
        <v>2.6701280000000001</v>
      </c>
    </row>
    <row r="158" spans="1:12">
      <c r="A158" s="589"/>
      <c r="B158" s="72"/>
      <c r="C158" s="73"/>
      <c r="D158" s="73"/>
      <c r="E158" s="76"/>
      <c r="F158" s="76"/>
      <c r="G158" s="76"/>
    </row>
    <row r="159" spans="1:12">
      <c r="A159" s="589"/>
      <c r="B159" s="72"/>
      <c r="C159" s="73"/>
      <c r="D159" s="73"/>
      <c r="E159" s="70"/>
      <c r="F159" s="70"/>
      <c r="G159" s="70"/>
    </row>
    <row r="160" spans="1:12">
      <c r="A160" s="589"/>
      <c r="B160" s="72"/>
      <c r="C160" s="597" t="s">
        <v>598</v>
      </c>
      <c r="D160" s="64" t="s">
        <v>194</v>
      </c>
      <c r="E160" s="598" t="s">
        <v>591</v>
      </c>
      <c r="F160" s="598" t="s">
        <v>592</v>
      </c>
      <c r="G160" s="598" t="s">
        <v>593</v>
      </c>
    </row>
    <row r="161" spans="1:12">
      <c r="A161" s="67"/>
      <c r="B161" s="72"/>
      <c r="C161" s="80"/>
      <c r="D161" s="69"/>
      <c r="E161" s="592"/>
      <c r="F161" s="70"/>
      <c r="G161" s="70">
        <f>+E161*F161</f>
        <v>0</v>
      </c>
    </row>
    <row r="162" spans="1:12">
      <c r="A162" s="67"/>
      <c r="B162" s="72"/>
      <c r="C162" s="68"/>
      <c r="D162" s="69"/>
      <c r="E162" s="592"/>
      <c r="F162" s="91"/>
      <c r="G162" s="70">
        <f>+E162*F162</f>
        <v>0</v>
      </c>
    </row>
    <row r="163" spans="1:12">
      <c r="A163" s="589"/>
      <c r="B163" s="72"/>
      <c r="C163" s="73" t="s">
        <v>599</v>
      </c>
      <c r="D163" s="73"/>
      <c r="E163" s="76"/>
      <c r="F163" s="76"/>
      <c r="G163" s="76">
        <f>SUM(G161:G161)</f>
        <v>0</v>
      </c>
    </row>
    <row r="164" spans="1:12">
      <c r="A164" s="589"/>
      <c r="B164" s="72"/>
      <c r="C164" s="73"/>
      <c r="D164" s="73"/>
      <c r="E164" s="76"/>
      <c r="F164" s="76"/>
      <c r="G164" s="76"/>
    </row>
    <row r="165" spans="1:12">
      <c r="A165" s="589"/>
      <c r="B165" s="72"/>
      <c r="C165" s="73" t="s">
        <v>605</v>
      </c>
      <c r="D165" s="73"/>
      <c r="E165" s="76"/>
      <c r="F165" s="76"/>
      <c r="G165" s="76">
        <f>G150+G163+G157</f>
        <v>9.2028780000000001</v>
      </c>
    </row>
    <row r="166" spans="1:12">
      <c r="A166" s="589"/>
      <c r="B166" s="72"/>
      <c r="C166" s="73" t="s">
        <v>331</v>
      </c>
      <c r="D166" s="73"/>
      <c r="E166" s="76"/>
      <c r="F166" s="76"/>
      <c r="G166" s="634">
        <f>G165</f>
        <v>9.2028780000000001</v>
      </c>
    </row>
    <row r="167" spans="1:12">
      <c r="A167" s="613"/>
      <c r="B167" s="614"/>
      <c r="C167" s="615"/>
      <c r="D167" s="615"/>
      <c r="E167" s="616"/>
      <c r="F167" s="616"/>
      <c r="G167" s="617"/>
    </row>
    <row r="168" spans="1:12" ht="12" customHeight="1">
      <c r="A168" s="618"/>
      <c r="B168" s="579"/>
      <c r="C168" s="619"/>
      <c r="D168" s="619"/>
      <c r="E168" s="620"/>
      <c r="F168" s="620"/>
      <c r="G168" s="621"/>
    </row>
    <row r="169" spans="1:12" ht="33.75">
      <c r="A169" s="605" t="s">
        <v>654</v>
      </c>
      <c r="B169" s="622" t="s">
        <v>408</v>
      </c>
      <c r="C169" s="623" t="s">
        <v>295</v>
      </c>
      <c r="D169" s="624" t="s">
        <v>291</v>
      </c>
      <c r="E169" s="625"/>
      <c r="F169" s="626">
        <f>G190</f>
        <v>8.3628780000000003</v>
      </c>
      <c r="G169" s="627">
        <f>F169*E169</f>
        <v>0</v>
      </c>
    </row>
    <row r="170" spans="1:12">
      <c r="A170" s="589"/>
      <c r="B170" s="72"/>
      <c r="C170" s="64" t="s">
        <v>590</v>
      </c>
      <c r="D170" s="64" t="s">
        <v>194</v>
      </c>
      <c r="E170" s="598" t="s">
        <v>591</v>
      </c>
      <c r="F170" s="598" t="s">
        <v>592</v>
      </c>
      <c r="G170" s="598" t="s">
        <v>593</v>
      </c>
    </row>
    <row r="171" spans="1:12" ht="24.75">
      <c r="A171" s="67" t="s">
        <v>188</v>
      </c>
      <c r="B171" s="72" t="s">
        <v>655</v>
      </c>
      <c r="C171" s="81" t="s">
        <v>656</v>
      </c>
      <c r="D171" s="69" t="s">
        <v>291</v>
      </c>
      <c r="E171" s="592">
        <v>1</v>
      </c>
      <c r="F171" s="82">
        <v>5.36</v>
      </c>
      <c r="G171" s="76">
        <f>+E171*F171</f>
        <v>5.36</v>
      </c>
      <c r="J171" s="631" t="s">
        <v>609</v>
      </c>
      <c r="K171" s="575" t="s">
        <v>610</v>
      </c>
      <c r="L171" s="631" t="s">
        <v>611</v>
      </c>
    </row>
    <row r="172" spans="1:12" ht="24.75">
      <c r="A172" s="67" t="s">
        <v>184</v>
      </c>
      <c r="B172" s="72" t="s">
        <v>643</v>
      </c>
      <c r="C172" s="81" t="s">
        <v>644</v>
      </c>
      <c r="D172" s="69" t="s">
        <v>291</v>
      </c>
      <c r="E172" s="592">
        <v>2.5000000000000001E-2</v>
      </c>
      <c r="F172" s="82">
        <v>7.49</v>
      </c>
      <c r="G172" s="76">
        <f>+E172*F172</f>
        <v>0.18725000000000003</v>
      </c>
      <c r="J172" s="631"/>
      <c r="L172" s="631"/>
    </row>
    <row r="173" spans="1:12" ht="24.75">
      <c r="A173" s="67" t="s">
        <v>184</v>
      </c>
      <c r="B173" s="72" t="s">
        <v>645</v>
      </c>
      <c r="C173" s="81" t="s">
        <v>646</v>
      </c>
      <c r="D173" s="69" t="s">
        <v>30</v>
      </c>
      <c r="E173" s="592">
        <v>0.97</v>
      </c>
      <c r="F173" s="82">
        <v>0.15</v>
      </c>
      <c r="G173" s="76">
        <f>+E173*F173</f>
        <v>0.14549999999999999</v>
      </c>
      <c r="J173" s="631"/>
      <c r="L173" s="631"/>
    </row>
    <row r="174" spans="1:12">
      <c r="A174" s="589"/>
      <c r="B174" s="72"/>
      <c r="C174" s="73" t="s">
        <v>594</v>
      </c>
      <c r="D174" s="73"/>
      <c r="E174" s="76"/>
      <c r="F174" s="82"/>
      <c r="G174" s="82">
        <f>SUM(G171:G173)</f>
        <v>5.6927500000000002</v>
      </c>
    </row>
    <row r="175" spans="1:12">
      <c r="A175" s="589"/>
      <c r="B175" s="72"/>
      <c r="C175" s="64" t="s">
        <v>595</v>
      </c>
      <c r="D175" s="64" t="s">
        <v>194</v>
      </c>
      <c r="E175" s="598" t="s">
        <v>591</v>
      </c>
      <c r="F175" s="598" t="s">
        <v>592</v>
      </c>
      <c r="G175" s="598" t="s">
        <v>593</v>
      </c>
    </row>
    <row r="176" spans="1:12" ht="24.75">
      <c r="A176" s="67" t="s">
        <v>188</v>
      </c>
      <c r="B176" s="72" t="s">
        <v>647</v>
      </c>
      <c r="C176" s="73" t="s">
        <v>648</v>
      </c>
      <c r="D176" s="69" t="s">
        <v>190</v>
      </c>
      <c r="E176" s="592">
        <v>2.8000000000000001E-2</v>
      </c>
      <c r="F176" s="70">
        <v>11.18</v>
      </c>
      <c r="G176" s="70">
        <f>+E176*F176</f>
        <v>0.31303999999999998</v>
      </c>
    </row>
    <row r="177" spans="1:7" ht="24.75">
      <c r="A177" s="67" t="s">
        <v>188</v>
      </c>
      <c r="B177" s="72" t="s">
        <v>649</v>
      </c>
      <c r="C177" s="73" t="s">
        <v>650</v>
      </c>
      <c r="D177" s="69" t="s">
        <v>190</v>
      </c>
      <c r="E177" s="592">
        <v>0.17130000000000001</v>
      </c>
      <c r="F177" s="70">
        <v>13.76</v>
      </c>
      <c r="G177" s="70">
        <f>+E177*F177</f>
        <v>2.3570880000000001</v>
      </c>
    </row>
    <row r="178" spans="1:7">
      <c r="A178" s="589"/>
      <c r="B178" s="72"/>
      <c r="C178" s="81"/>
      <c r="D178" s="69"/>
      <c r="E178" s="633"/>
      <c r="F178" s="82"/>
      <c r="G178" s="76"/>
    </row>
    <row r="179" spans="1:7">
      <c r="A179" s="589"/>
      <c r="B179" s="72"/>
      <c r="C179" s="73" t="s">
        <v>253</v>
      </c>
      <c r="D179" s="69"/>
      <c r="E179" s="610"/>
      <c r="F179" s="76"/>
      <c r="G179" s="76">
        <f>SUM(G176:G178)</f>
        <v>2.6701280000000001</v>
      </c>
    </row>
    <row r="180" spans="1:7">
      <c r="A180" s="589"/>
      <c r="B180" s="72"/>
      <c r="C180" s="73"/>
      <c r="D180" s="69"/>
      <c r="E180" s="610"/>
      <c r="F180" s="76"/>
      <c r="G180" s="76"/>
    </row>
    <row r="181" spans="1:7">
      <c r="A181" s="589"/>
      <c r="B181" s="72"/>
      <c r="C181" s="73" t="s">
        <v>597</v>
      </c>
      <c r="D181" s="73"/>
      <c r="E181" s="76"/>
      <c r="F181" s="76"/>
      <c r="G181" s="76">
        <f>G179</f>
        <v>2.6701280000000001</v>
      </c>
    </row>
    <row r="182" spans="1:7">
      <c r="A182" s="589"/>
      <c r="B182" s="72"/>
      <c r="C182" s="73"/>
      <c r="D182" s="73"/>
      <c r="E182" s="76"/>
      <c r="F182" s="76"/>
      <c r="G182" s="76"/>
    </row>
    <row r="183" spans="1:7">
      <c r="A183" s="589"/>
      <c r="B183" s="72"/>
      <c r="C183" s="73"/>
      <c r="D183" s="73"/>
      <c r="E183" s="70"/>
      <c r="F183" s="70"/>
      <c r="G183" s="70"/>
    </row>
    <row r="184" spans="1:7">
      <c r="A184" s="589"/>
      <c r="B184" s="72"/>
      <c r="C184" s="597" t="s">
        <v>598</v>
      </c>
      <c r="D184" s="64" t="s">
        <v>194</v>
      </c>
      <c r="E184" s="598" t="s">
        <v>591</v>
      </c>
      <c r="F184" s="598" t="s">
        <v>592</v>
      </c>
      <c r="G184" s="598" t="s">
        <v>593</v>
      </c>
    </row>
    <row r="185" spans="1:7">
      <c r="A185" s="67"/>
      <c r="B185" s="72"/>
      <c r="C185" s="80"/>
      <c r="D185" s="69"/>
      <c r="E185" s="592"/>
      <c r="F185" s="70"/>
      <c r="G185" s="70">
        <f>+E185*F185</f>
        <v>0</v>
      </c>
    </row>
    <row r="186" spans="1:7">
      <c r="A186" s="67"/>
      <c r="B186" s="72"/>
      <c r="C186" s="68"/>
      <c r="D186" s="69"/>
      <c r="E186" s="592"/>
      <c r="F186" s="91"/>
      <c r="G186" s="70">
        <f>+E186*F186</f>
        <v>0</v>
      </c>
    </row>
    <row r="187" spans="1:7">
      <c r="A187" s="589"/>
      <c r="B187" s="72"/>
      <c r="C187" s="73" t="s">
        <v>599</v>
      </c>
      <c r="D187" s="73"/>
      <c r="E187" s="76"/>
      <c r="F187" s="76"/>
      <c r="G187" s="76">
        <f>SUM(G185:G185)</f>
        <v>0</v>
      </c>
    </row>
    <row r="188" spans="1:7">
      <c r="A188" s="589"/>
      <c r="B188" s="72"/>
      <c r="C188" s="73"/>
      <c r="D188" s="73"/>
      <c r="E188" s="76"/>
      <c r="F188" s="76"/>
      <c r="G188" s="76"/>
    </row>
    <row r="189" spans="1:7">
      <c r="A189" s="589"/>
      <c r="B189" s="72"/>
      <c r="C189" s="73" t="s">
        <v>605</v>
      </c>
      <c r="D189" s="73"/>
      <c r="E189" s="76"/>
      <c r="F189" s="76"/>
      <c r="G189" s="76">
        <f>G174+G187+G181</f>
        <v>8.3628780000000003</v>
      </c>
    </row>
    <row r="190" spans="1:7">
      <c r="A190" s="589"/>
      <c r="B190" s="72"/>
      <c r="C190" s="73" t="s">
        <v>331</v>
      </c>
      <c r="D190" s="73"/>
      <c r="E190" s="76"/>
      <c r="F190" s="76"/>
      <c r="G190" s="634">
        <f>G189</f>
        <v>8.3628780000000003</v>
      </c>
    </row>
    <row r="191" spans="1:7">
      <c r="A191" s="613"/>
      <c r="B191" s="614"/>
      <c r="C191" s="615"/>
      <c r="D191" s="615"/>
      <c r="E191" s="616"/>
      <c r="F191" s="616"/>
      <c r="G191" s="617"/>
    </row>
    <row r="192" spans="1:7" ht="12" customHeight="1">
      <c r="A192" s="618"/>
      <c r="B192" s="579"/>
      <c r="C192" s="619"/>
      <c r="D192" s="619"/>
      <c r="E192" s="620"/>
      <c r="F192" s="620"/>
      <c r="G192" s="621"/>
    </row>
    <row r="193" spans="1:12" ht="33.75">
      <c r="A193" s="605" t="s">
        <v>657</v>
      </c>
      <c r="B193" s="622" t="s">
        <v>411</v>
      </c>
      <c r="C193" s="623" t="s">
        <v>297</v>
      </c>
      <c r="D193" s="624" t="s">
        <v>291</v>
      </c>
      <c r="E193" s="625"/>
      <c r="F193" s="626">
        <f>G214</f>
        <v>8.5664759999999998</v>
      </c>
      <c r="G193" s="627">
        <f>F193*E193</f>
        <v>0</v>
      </c>
    </row>
    <row r="194" spans="1:12">
      <c r="A194" s="589"/>
      <c r="B194" s="72"/>
      <c r="C194" s="64" t="s">
        <v>590</v>
      </c>
      <c r="D194" s="64" t="s">
        <v>194</v>
      </c>
      <c r="E194" s="598" t="s">
        <v>591</v>
      </c>
      <c r="F194" s="598" t="s">
        <v>592</v>
      </c>
      <c r="G194" s="598" t="s">
        <v>593</v>
      </c>
    </row>
    <row r="195" spans="1:12" ht="24.75">
      <c r="A195" s="67" t="s">
        <v>188</v>
      </c>
      <c r="B195" s="72" t="s">
        <v>658</v>
      </c>
      <c r="C195" s="81" t="s">
        <v>659</v>
      </c>
      <c r="D195" s="69" t="s">
        <v>291</v>
      </c>
      <c r="E195" s="592">
        <v>1</v>
      </c>
      <c r="F195" s="82">
        <v>5.65</v>
      </c>
      <c r="G195" s="76">
        <f>+E195*F195</f>
        <v>5.65</v>
      </c>
      <c r="J195" s="631" t="s">
        <v>609</v>
      </c>
      <c r="K195" s="575" t="s">
        <v>610</v>
      </c>
      <c r="L195" s="631" t="s">
        <v>611</v>
      </c>
    </row>
    <row r="196" spans="1:12" ht="24.75">
      <c r="A196" s="67" t="s">
        <v>184</v>
      </c>
      <c r="B196" s="72" t="s">
        <v>643</v>
      </c>
      <c r="C196" s="81" t="s">
        <v>644</v>
      </c>
      <c r="D196" s="69" t="s">
        <v>291</v>
      </c>
      <c r="E196" s="592">
        <v>2.5000000000000001E-2</v>
      </c>
      <c r="F196" s="82">
        <v>7.49</v>
      </c>
      <c r="G196" s="76">
        <f>+E196*F196</f>
        <v>0.18725000000000003</v>
      </c>
      <c r="J196" s="631"/>
      <c r="L196" s="631"/>
    </row>
    <row r="197" spans="1:12" ht="24.75">
      <c r="A197" s="67" t="s">
        <v>184</v>
      </c>
      <c r="B197" s="72" t="s">
        <v>645</v>
      </c>
      <c r="C197" s="81" t="s">
        <v>646</v>
      </c>
      <c r="D197" s="69" t="s">
        <v>30</v>
      </c>
      <c r="E197" s="592">
        <v>2.1179999999999999</v>
      </c>
      <c r="F197" s="82">
        <v>0.15</v>
      </c>
      <c r="G197" s="76">
        <f>+E197*F197</f>
        <v>0.31769999999999998</v>
      </c>
      <c r="J197" s="631"/>
      <c r="L197" s="631"/>
    </row>
    <row r="198" spans="1:12">
      <c r="A198" s="589"/>
      <c r="B198" s="72"/>
      <c r="C198" s="73" t="s">
        <v>594</v>
      </c>
      <c r="D198" s="73"/>
      <c r="E198" s="76"/>
      <c r="F198" s="82"/>
      <c r="G198" s="82">
        <f>SUM(G195:G197)</f>
        <v>6.1549500000000004</v>
      </c>
    </row>
    <row r="199" spans="1:12">
      <c r="A199" s="589"/>
      <c r="B199" s="72"/>
      <c r="C199" s="64" t="s">
        <v>595</v>
      </c>
      <c r="D199" s="64" t="s">
        <v>194</v>
      </c>
      <c r="E199" s="598" t="s">
        <v>591</v>
      </c>
      <c r="F199" s="598" t="s">
        <v>592</v>
      </c>
      <c r="G199" s="598" t="s">
        <v>593</v>
      </c>
    </row>
    <row r="200" spans="1:12" ht="24.75">
      <c r="A200" s="67" t="s">
        <v>188</v>
      </c>
      <c r="B200" s="72" t="s">
        <v>647</v>
      </c>
      <c r="C200" s="73" t="s">
        <v>648</v>
      </c>
      <c r="D200" s="69" t="s">
        <v>190</v>
      </c>
      <c r="E200" s="592">
        <v>2.53E-2</v>
      </c>
      <c r="F200" s="70">
        <v>11.18</v>
      </c>
      <c r="G200" s="70">
        <f>+E200*F200</f>
        <v>0.28285399999999999</v>
      </c>
    </row>
    <row r="201" spans="1:12" ht="24.75">
      <c r="A201" s="67" t="s">
        <v>188</v>
      </c>
      <c r="B201" s="72" t="s">
        <v>649</v>
      </c>
      <c r="C201" s="73" t="s">
        <v>650</v>
      </c>
      <c r="D201" s="69" t="s">
        <v>190</v>
      </c>
      <c r="E201" s="592">
        <v>0.1547</v>
      </c>
      <c r="F201" s="70">
        <v>13.76</v>
      </c>
      <c r="G201" s="70">
        <f>+E201*F201</f>
        <v>2.1286719999999999</v>
      </c>
    </row>
    <row r="202" spans="1:12">
      <c r="A202" s="589"/>
      <c r="B202" s="72"/>
      <c r="C202" s="81"/>
      <c r="D202" s="69"/>
      <c r="E202" s="633"/>
      <c r="F202" s="82"/>
      <c r="G202" s="76"/>
    </row>
    <row r="203" spans="1:12">
      <c r="A203" s="589"/>
      <c r="B203" s="72"/>
      <c r="C203" s="73" t="s">
        <v>253</v>
      </c>
      <c r="D203" s="69"/>
      <c r="E203" s="610"/>
      <c r="F203" s="76"/>
      <c r="G203" s="76">
        <f>SUM(G200:G202)</f>
        <v>2.4115259999999998</v>
      </c>
    </row>
    <row r="204" spans="1:12">
      <c r="A204" s="589"/>
      <c r="B204" s="72"/>
      <c r="C204" s="73"/>
      <c r="D204" s="69"/>
      <c r="E204" s="610"/>
      <c r="F204" s="76"/>
      <c r="G204" s="76"/>
    </row>
    <row r="205" spans="1:12">
      <c r="A205" s="589"/>
      <c r="B205" s="72"/>
      <c r="C205" s="73" t="s">
        <v>597</v>
      </c>
      <c r="D205" s="73"/>
      <c r="E205" s="76"/>
      <c r="F205" s="76"/>
      <c r="G205" s="76">
        <f>G203</f>
        <v>2.4115259999999998</v>
      </c>
    </row>
    <row r="206" spans="1:12">
      <c r="A206" s="589"/>
      <c r="B206" s="72"/>
      <c r="C206" s="73"/>
      <c r="D206" s="73"/>
      <c r="E206" s="76"/>
      <c r="F206" s="76"/>
      <c r="G206" s="76"/>
    </row>
    <row r="207" spans="1:12">
      <c r="A207" s="589"/>
      <c r="B207" s="72"/>
      <c r="C207" s="73"/>
      <c r="D207" s="73"/>
      <c r="E207" s="70"/>
      <c r="F207" s="70"/>
      <c r="G207" s="70"/>
    </row>
    <row r="208" spans="1:12">
      <c r="A208" s="589"/>
      <c r="B208" s="72"/>
      <c r="C208" s="597" t="s">
        <v>598</v>
      </c>
      <c r="D208" s="64" t="s">
        <v>194</v>
      </c>
      <c r="E208" s="598" t="s">
        <v>591</v>
      </c>
      <c r="F208" s="598" t="s">
        <v>592</v>
      </c>
      <c r="G208" s="598" t="s">
        <v>593</v>
      </c>
    </row>
    <row r="209" spans="1:12">
      <c r="A209" s="67"/>
      <c r="B209" s="72"/>
      <c r="C209" s="80"/>
      <c r="D209" s="69"/>
      <c r="E209" s="592"/>
      <c r="F209" s="70"/>
      <c r="G209" s="70">
        <f>+E209*F209</f>
        <v>0</v>
      </c>
    </row>
    <row r="210" spans="1:12">
      <c r="A210" s="67"/>
      <c r="B210" s="72"/>
      <c r="C210" s="68"/>
      <c r="D210" s="69"/>
      <c r="E210" s="592"/>
      <c r="F210" s="91"/>
      <c r="G210" s="70">
        <f>+E210*F210</f>
        <v>0</v>
      </c>
    </row>
    <row r="211" spans="1:12">
      <c r="A211" s="589"/>
      <c r="B211" s="72"/>
      <c r="C211" s="73" t="s">
        <v>599</v>
      </c>
      <c r="D211" s="73"/>
      <c r="E211" s="76"/>
      <c r="F211" s="76"/>
      <c r="G211" s="76">
        <f>SUM(G209:G209)</f>
        <v>0</v>
      </c>
    </row>
    <row r="212" spans="1:12">
      <c r="A212" s="589"/>
      <c r="B212" s="72"/>
      <c r="C212" s="73"/>
      <c r="D212" s="73"/>
      <c r="E212" s="76"/>
      <c r="F212" s="76"/>
      <c r="G212" s="76"/>
    </row>
    <row r="213" spans="1:12">
      <c r="A213" s="589"/>
      <c r="B213" s="72"/>
      <c r="C213" s="73" t="s">
        <v>605</v>
      </c>
      <c r="D213" s="73"/>
      <c r="E213" s="76"/>
      <c r="F213" s="76"/>
      <c r="G213" s="76">
        <f>G198+G211+G205</f>
        <v>8.5664759999999998</v>
      </c>
    </row>
    <row r="214" spans="1:12">
      <c r="A214" s="589"/>
      <c r="B214" s="72"/>
      <c r="C214" s="73" t="s">
        <v>331</v>
      </c>
      <c r="D214" s="73"/>
      <c r="E214" s="76"/>
      <c r="F214" s="76"/>
      <c r="G214" s="634">
        <f>G213</f>
        <v>8.5664759999999998</v>
      </c>
    </row>
    <row r="215" spans="1:12">
      <c r="A215" s="613"/>
      <c r="B215" s="614"/>
      <c r="C215" s="615"/>
      <c r="D215" s="615"/>
      <c r="E215" s="616"/>
      <c r="F215" s="616"/>
      <c r="G215" s="617"/>
    </row>
    <row r="216" spans="1:12" ht="12" customHeight="1">
      <c r="A216" s="618"/>
      <c r="B216" s="579"/>
      <c r="C216" s="619"/>
      <c r="D216" s="619"/>
      <c r="E216" s="620"/>
      <c r="F216" s="620"/>
      <c r="G216" s="621"/>
    </row>
    <row r="217" spans="1:12" ht="24.75">
      <c r="A217" s="605" t="s">
        <v>660</v>
      </c>
      <c r="B217" s="622" t="s">
        <v>93</v>
      </c>
      <c r="C217" s="623" t="s">
        <v>94</v>
      </c>
      <c r="D217" s="624" t="s">
        <v>53</v>
      </c>
      <c r="E217" s="625"/>
      <c r="F217" s="626">
        <f>G239</f>
        <v>382.27449999999999</v>
      </c>
      <c r="G217" s="627">
        <f>F217*E217</f>
        <v>0</v>
      </c>
    </row>
    <row r="218" spans="1:12">
      <c r="A218" s="589"/>
      <c r="B218" s="72"/>
      <c r="C218" s="64" t="s">
        <v>590</v>
      </c>
      <c r="D218" s="64" t="s">
        <v>194</v>
      </c>
      <c r="E218" s="598" t="s">
        <v>591</v>
      </c>
      <c r="F218" s="598" t="s">
        <v>592</v>
      </c>
      <c r="G218" s="598" t="s">
        <v>593</v>
      </c>
    </row>
    <row r="219" spans="1:12" ht="24.75">
      <c r="A219" s="67" t="s">
        <v>188</v>
      </c>
      <c r="B219" s="72">
        <v>1525</v>
      </c>
      <c r="C219" s="81" t="s">
        <v>661</v>
      </c>
      <c r="D219" s="69" t="s">
        <v>53</v>
      </c>
      <c r="E219" s="592">
        <v>1.05</v>
      </c>
      <c r="F219" s="82">
        <v>323.14999999999998</v>
      </c>
      <c r="G219" s="76">
        <f>+E219*F219</f>
        <v>339.3075</v>
      </c>
      <c r="J219" s="631" t="s">
        <v>609</v>
      </c>
      <c r="K219" s="575" t="s">
        <v>610</v>
      </c>
      <c r="L219" s="631" t="s">
        <v>611</v>
      </c>
    </row>
    <row r="220" spans="1:12" ht="24.75">
      <c r="A220" s="67" t="s">
        <v>184</v>
      </c>
      <c r="B220" s="72" t="s">
        <v>662</v>
      </c>
      <c r="C220" s="81" t="s">
        <v>663</v>
      </c>
      <c r="D220" s="69" t="s">
        <v>190</v>
      </c>
      <c r="E220" s="592">
        <v>0.3</v>
      </c>
      <c r="F220" s="82">
        <v>0.93</v>
      </c>
      <c r="G220" s="76">
        <f>+E220*F220</f>
        <v>0.27900000000000003</v>
      </c>
      <c r="J220" s="631"/>
      <c r="L220" s="631"/>
    </row>
    <row r="221" spans="1:12">
      <c r="A221" s="589"/>
      <c r="B221" s="72"/>
      <c r="C221" s="73" t="s">
        <v>594</v>
      </c>
      <c r="D221" s="73"/>
      <c r="E221" s="76"/>
      <c r="F221" s="82"/>
      <c r="G221" s="82">
        <f>SUM(G219:G220)</f>
        <v>339.5865</v>
      </c>
    </row>
    <row r="222" spans="1:12">
      <c r="A222" s="589"/>
      <c r="B222" s="72"/>
      <c r="C222" s="64" t="s">
        <v>595</v>
      </c>
      <c r="D222" s="64" t="s">
        <v>194</v>
      </c>
      <c r="E222" s="598" t="s">
        <v>591</v>
      </c>
      <c r="F222" s="598" t="s">
        <v>592</v>
      </c>
      <c r="G222" s="598" t="s">
        <v>593</v>
      </c>
    </row>
    <row r="223" spans="1:12" ht="24.75">
      <c r="A223" s="67" t="s">
        <v>188</v>
      </c>
      <c r="B223" s="72" t="s">
        <v>649</v>
      </c>
      <c r="C223" s="73" t="s">
        <v>650</v>
      </c>
      <c r="D223" s="69" t="s">
        <v>190</v>
      </c>
      <c r="E223" s="592">
        <v>0.6</v>
      </c>
      <c r="F223" s="70">
        <v>13.76</v>
      </c>
      <c r="G223" s="70">
        <f>+E223*F223</f>
        <v>8.2560000000000002</v>
      </c>
    </row>
    <row r="224" spans="1:12" ht="24.75">
      <c r="A224" s="67" t="s">
        <v>188</v>
      </c>
      <c r="B224" s="72" t="s">
        <v>620</v>
      </c>
      <c r="C224" s="73" t="s">
        <v>621</v>
      </c>
      <c r="D224" s="69" t="s">
        <v>190</v>
      </c>
      <c r="E224" s="592">
        <v>0.6</v>
      </c>
      <c r="F224" s="70">
        <v>13.76</v>
      </c>
      <c r="G224" s="70">
        <f>+E224*F224</f>
        <v>8.2560000000000002</v>
      </c>
    </row>
    <row r="225" spans="1:7" ht="24.75">
      <c r="A225" s="67" t="s">
        <v>188</v>
      </c>
      <c r="B225" s="72" t="s">
        <v>664</v>
      </c>
      <c r="C225" s="73" t="s">
        <v>201</v>
      </c>
      <c r="D225" s="69" t="s">
        <v>190</v>
      </c>
      <c r="E225" s="592">
        <v>0.6</v>
      </c>
      <c r="F225" s="70">
        <v>13.76</v>
      </c>
      <c r="G225" s="70">
        <f>+E225*F225</f>
        <v>8.2560000000000002</v>
      </c>
    </row>
    <row r="226" spans="1:7" ht="24.75">
      <c r="A226" s="67" t="s">
        <v>188</v>
      </c>
      <c r="B226" s="72" t="s">
        <v>665</v>
      </c>
      <c r="C226" s="73" t="s">
        <v>202</v>
      </c>
      <c r="D226" s="69" t="s">
        <v>190</v>
      </c>
      <c r="E226" s="592">
        <v>1.6</v>
      </c>
      <c r="F226" s="70">
        <v>11.2</v>
      </c>
      <c r="G226" s="70">
        <f>+E226*F226</f>
        <v>17.919999999999998</v>
      </c>
    </row>
    <row r="227" spans="1:7">
      <c r="A227" s="589"/>
      <c r="B227" s="72"/>
      <c r="C227" s="81"/>
      <c r="D227" s="69"/>
      <c r="E227" s="633"/>
      <c r="F227" s="82"/>
      <c r="G227" s="76"/>
    </row>
    <row r="228" spans="1:7">
      <c r="A228" s="589"/>
      <c r="B228" s="72"/>
      <c r="C228" s="73" t="s">
        <v>253</v>
      </c>
      <c r="D228" s="69"/>
      <c r="E228" s="610"/>
      <c r="F228" s="76"/>
      <c r="G228" s="76">
        <f>SUM(G223:G227)</f>
        <v>42.688000000000002</v>
      </c>
    </row>
    <row r="229" spans="1:7">
      <c r="A229" s="589"/>
      <c r="B229" s="72"/>
      <c r="C229" s="73"/>
      <c r="D229" s="69"/>
      <c r="E229" s="610"/>
      <c r="F229" s="76"/>
      <c r="G229" s="76"/>
    </row>
    <row r="230" spans="1:7">
      <c r="A230" s="589"/>
      <c r="B230" s="72"/>
      <c r="C230" s="73" t="s">
        <v>597</v>
      </c>
      <c r="D230" s="73"/>
      <c r="E230" s="76"/>
      <c r="F230" s="76"/>
      <c r="G230" s="76">
        <f>G228</f>
        <v>42.688000000000002</v>
      </c>
    </row>
    <row r="231" spans="1:7">
      <c r="A231" s="589"/>
      <c r="B231" s="72"/>
      <c r="C231" s="73"/>
      <c r="D231" s="73"/>
      <c r="E231" s="76"/>
      <c r="F231" s="76"/>
      <c r="G231" s="76"/>
    </row>
    <row r="232" spans="1:7">
      <c r="A232" s="589"/>
      <c r="B232" s="72"/>
      <c r="C232" s="73"/>
      <c r="D232" s="73"/>
      <c r="E232" s="70"/>
      <c r="F232" s="70"/>
      <c r="G232" s="70"/>
    </row>
    <row r="233" spans="1:7">
      <c r="A233" s="589"/>
      <c r="B233" s="72"/>
      <c r="C233" s="597" t="s">
        <v>598</v>
      </c>
      <c r="D233" s="64" t="s">
        <v>194</v>
      </c>
      <c r="E233" s="598" t="s">
        <v>591</v>
      </c>
      <c r="F233" s="598" t="s">
        <v>592</v>
      </c>
      <c r="G233" s="598" t="s">
        <v>593</v>
      </c>
    </row>
    <row r="234" spans="1:7">
      <c r="A234" s="67"/>
      <c r="B234" s="72"/>
      <c r="C234" s="80"/>
      <c r="D234" s="69"/>
      <c r="E234" s="592"/>
      <c r="F234" s="70"/>
      <c r="G234" s="70">
        <f>+E234*F234</f>
        <v>0</v>
      </c>
    </row>
    <row r="235" spans="1:7">
      <c r="A235" s="67"/>
      <c r="B235" s="72"/>
      <c r="C235" s="68"/>
      <c r="D235" s="69"/>
      <c r="E235" s="592"/>
      <c r="F235" s="91"/>
      <c r="G235" s="70">
        <f>+E235*F235</f>
        <v>0</v>
      </c>
    </row>
    <row r="236" spans="1:7">
      <c r="A236" s="589"/>
      <c r="B236" s="72"/>
      <c r="C236" s="73" t="s">
        <v>599</v>
      </c>
      <c r="D236" s="73"/>
      <c r="E236" s="76"/>
      <c r="F236" s="76"/>
      <c r="G236" s="76">
        <f>SUM(G234:G234)</f>
        <v>0</v>
      </c>
    </row>
    <row r="237" spans="1:7">
      <c r="A237" s="589"/>
      <c r="B237" s="72"/>
      <c r="C237" s="73"/>
      <c r="D237" s="73"/>
      <c r="E237" s="76"/>
      <c r="F237" s="76"/>
      <c r="G237" s="76"/>
    </row>
    <row r="238" spans="1:7">
      <c r="A238" s="589"/>
      <c r="B238" s="72"/>
      <c r="C238" s="73" t="s">
        <v>605</v>
      </c>
      <c r="D238" s="73"/>
      <c r="E238" s="76"/>
      <c r="F238" s="76"/>
      <c r="G238" s="76">
        <f>G221+G236+G230</f>
        <v>382.27449999999999</v>
      </c>
    </row>
    <row r="239" spans="1:7">
      <c r="A239" s="589"/>
      <c r="B239" s="72"/>
      <c r="C239" s="73" t="s">
        <v>331</v>
      </c>
      <c r="D239" s="73"/>
      <c r="E239" s="76"/>
      <c r="F239" s="76"/>
      <c r="G239" s="634">
        <f>G238</f>
        <v>382.27449999999999</v>
      </c>
    </row>
    <row r="240" spans="1:7">
      <c r="A240" s="613"/>
      <c r="B240" s="614"/>
      <c r="C240" s="615"/>
      <c r="D240" s="615"/>
      <c r="E240" s="616"/>
      <c r="F240" s="616"/>
      <c r="G240" s="617"/>
    </row>
    <row r="241" spans="1:13" ht="12" customHeight="1">
      <c r="A241" s="618"/>
      <c r="B241" s="579"/>
      <c r="C241" s="619"/>
      <c r="D241" s="619"/>
      <c r="E241" s="620"/>
      <c r="F241" s="620"/>
      <c r="G241" s="621"/>
    </row>
    <row r="242" spans="1:13" ht="42.75" customHeight="1">
      <c r="A242" s="605" t="s">
        <v>666</v>
      </c>
      <c r="B242" s="622" t="s">
        <v>107</v>
      </c>
      <c r="C242" s="623" t="s">
        <v>299</v>
      </c>
      <c r="D242" s="624" t="s">
        <v>17</v>
      </c>
      <c r="E242" s="625"/>
      <c r="F242" s="626">
        <f>G268</f>
        <v>54.335999999999991</v>
      </c>
      <c r="G242" s="627">
        <f>F242*E242</f>
        <v>0</v>
      </c>
    </row>
    <row r="243" spans="1:13">
      <c r="A243" s="589"/>
      <c r="B243" s="72"/>
      <c r="C243" s="64" t="s">
        <v>590</v>
      </c>
      <c r="D243" s="64" t="s">
        <v>194</v>
      </c>
      <c r="E243" s="598" t="s">
        <v>591</v>
      </c>
      <c r="F243" s="598" t="s">
        <v>592</v>
      </c>
      <c r="G243" s="598" t="s">
        <v>593</v>
      </c>
    </row>
    <row r="244" spans="1:13" ht="24.75">
      <c r="A244" s="67" t="s">
        <v>184</v>
      </c>
      <c r="B244" s="72">
        <v>367</v>
      </c>
      <c r="C244" s="81" t="s">
        <v>667</v>
      </c>
      <c r="D244" s="69" t="s">
        <v>53</v>
      </c>
      <c r="E244" s="592">
        <v>0.1</v>
      </c>
      <c r="F244" s="82">
        <v>60</v>
      </c>
      <c r="G244" s="76">
        <f>+E244*F244</f>
        <v>6</v>
      </c>
      <c r="J244" s="631" t="s">
        <v>609</v>
      </c>
      <c r="K244" s="575" t="s">
        <v>610</v>
      </c>
      <c r="L244" s="631" t="s">
        <v>611</v>
      </c>
    </row>
    <row r="245" spans="1:13" ht="33.75">
      <c r="A245" s="67" t="s">
        <v>184</v>
      </c>
      <c r="B245" s="72">
        <v>36196</v>
      </c>
      <c r="C245" s="81" t="s">
        <v>668</v>
      </c>
      <c r="D245" s="69" t="s">
        <v>17</v>
      </c>
      <c r="E245" s="592">
        <v>1</v>
      </c>
      <c r="F245" s="82">
        <v>40.659999999999997</v>
      </c>
      <c r="G245" s="76">
        <f>+E245*F245</f>
        <v>40.659999999999997</v>
      </c>
      <c r="J245" s="632">
        <v>30.6</v>
      </c>
      <c r="K245" s="632">
        <v>44.4</v>
      </c>
      <c r="L245" s="632">
        <v>34</v>
      </c>
      <c r="M245" s="61">
        <f>(J245+K245+L245)/2</f>
        <v>54.5</v>
      </c>
    </row>
    <row r="246" spans="1:13">
      <c r="A246" s="589"/>
      <c r="B246" s="72"/>
      <c r="C246" s="81"/>
      <c r="D246" s="69"/>
      <c r="E246" s="633"/>
      <c r="F246" s="82"/>
      <c r="G246" s="76"/>
    </row>
    <row r="247" spans="1:13">
      <c r="A247" s="589"/>
      <c r="B247" s="72"/>
      <c r="C247" s="635"/>
      <c r="D247" s="635"/>
      <c r="E247" s="636"/>
      <c r="F247" s="636"/>
      <c r="G247" s="82"/>
    </row>
    <row r="248" spans="1:13">
      <c r="A248" s="589"/>
      <c r="B248" s="72"/>
      <c r="C248" s="73" t="s">
        <v>594</v>
      </c>
      <c r="D248" s="73"/>
      <c r="E248" s="76"/>
      <c r="F248" s="82"/>
      <c r="G248" s="82">
        <f>SUM(G244:G246)</f>
        <v>46.66</v>
      </c>
    </row>
    <row r="249" spans="1:13">
      <c r="A249" s="589"/>
      <c r="B249" s="72"/>
      <c r="C249" s="64" t="s">
        <v>595</v>
      </c>
      <c r="D249" s="64" t="s">
        <v>194</v>
      </c>
      <c r="E249" s="598" t="s">
        <v>591</v>
      </c>
      <c r="F249" s="598" t="s">
        <v>592</v>
      </c>
      <c r="G249" s="598" t="s">
        <v>593</v>
      </c>
    </row>
    <row r="250" spans="1:13" ht="24.75">
      <c r="A250" s="67" t="s">
        <v>188</v>
      </c>
      <c r="B250" s="72">
        <v>88260</v>
      </c>
      <c r="C250" s="73" t="s">
        <v>205</v>
      </c>
      <c r="D250" s="69" t="s">
        <v>604</v>
      </c>
      <c r="E250" s="592">
        <v>0.25</v>
      </c>
      <c r="F250" s="70">
        <v>12.94</v>
      </c>
      <c r="G250" s="70">
        <f>+E250*F250</f>
        <v>3.2349999999999999</v>
      </c>
    </row>
    <row r="251" spans="1:13" ht="24.75">
      <c r="A251" s="67" t="s">
        <v>188</v>
      </c>
      <c r="B251" s="72">
        <v>88316</v>
      </c>
      <c r="C251" s="73" t="s">
        <v>202</v>
      </c>
      <c r="D251" s="69" t="s">
        <v>604</v>
      </c>
      <c r="E251" s="592">
        <v>0.37</v>
      </c>
      <c r="F251" s="70">
        <v>11.2</v>
      </c>
      <c r="G251" s="70">
        <f>+E251*F251</f>
        <v>4.1440000000000001</v>
      </c>
    </row>
    <row r="252" spans="1:13">
      <c r="A252" s="589"/>
      <c r="B252" s="72"/>
      <c r="C252" s="81"/>
      <c r="D252" s="69"/>
      <c r="E252" s="633"/>
      <c r="F252" s="82"/>
      <c r="G252" s="76"/>
    </row>
    <row r="253" spans="1:13">
      <c r="A253" s="589"/>
      <c r="B253" s="72"/>
      <c r="C253" s="73" t="s">
        <v>253</v>
      </c>
      <c r="D253" s="69"/>
      <c r="E253" s="610"/>
      <c r="F253" s="76"/>
      <c r="G253" s="76">
        <f>SUM(G250:G252)</f>
        <v>7.3789999999999996</v>
      </c>
    </row>
    <row r="254" spans="1:13">
      <c r="A254" s="589"/>
      <c r="B254" s="72"/>
      <c r="C254" s="73"/>
      <c r="D254" s="69"/>
      <c r="E254" s="610"/>
      <c r="F254" s="76"/>
      <c r="G254" s="76"/>
    </row>
    <row r="255" spans="1:13">
      <c r="A255" s="589"/>
      <c r="B255" s="72"/>
      <c r="C255" s="73" t="s">
        <v>597</v>
      </c>
      <c r="D255" s="73"/>
      <c r="E255" s="76"/>
      <c r="F255" s="76"/>
      <c r="G255" s="76">
        <f>G253</f>
        <v>7.3789999999999996</v>
      </c>
    </row>
    <row r="256" spans="1:13">
      <c r="A256" s="589"/>
      <c r="B256" s="72"/>
      <c r="C256" s="73"/>
      <c r="D256" s="73"/>
      <c r="E256" s="76"/>
      <c r="F256" s="76"/>
      <c r="G256" s="76"/>
    </row>
    <row r="257" spans="1:7">
      <c r="A257" s="589"/>
      <c r="B257" s="72"/>
      <c r="C257" s="73"/>
      <c r="D257" s="73"/>
      <c r="E257" s="70"/>
      <c r="F257" s="70"/>
      <c r="G257" s="70"/>
    </row>
    <row r="258" spans="1:7">
      <c r="A258" s="589"/>
      <c r="B258" s="72"/>
      <c r="C258" s="597" t="s">
        <v>598</v>
      </c>
      <c r="D258" s="64" t="s">
        <v>194</v>
      </c>
      <c r="E258" s="598" t="s">
        <v>591</v>
      </c>
      <c r="F258" s="598" t="s">
        <v>592</v>
      </c>
      <c r="G258" s="598" t="s">
        <v>593</v>
      </c>
    </row>
    <row r="259" spans="1:7" ht="24.75">
      <c r="A259" s="67" t="s">
        <v>184</v>
      </c>
      <c r="B259" s="72">
        <v>1443</v>
      </c>
      <c r="C259" s="80" t="s">
        <v>206</v>
      </c>
      <c r="D259" s="69" t="s">
        <v>604</v>
      </c>
      <c r="E259" s="612">
        <v>0.11</v>
      </c>
      <c r="F259" s="70">
        <v>2.7</v>
      </c>
      <c r="G259" s="70">
        <f>+E259*F259</f>
        <v>0.29700000000000004</v>
      </c>
    </row>
    <row r="260" spans="1:7">
      <c r="A260" s="589"/>
      <c r="B260" s="72"/>
      <c r="C260" s="68"/>
      <c r="D260" s="69"/>
      <c r="E260" s="599"/>
      <c r="F260" s="91"/>
      <c r="G260" s="91"/>
    </row>
    <row r="261" spans="1:7">
      <c r="A261" s="589"/>
      <c r="B261" s="72"/>
      <c r="C261" s="73" t="s">
        <v>599</v>
      </c>
      <c r="D261" s="73"/>
      <c r="E261" s="76"/>
      <c r="F261" s="76"/>
      <c r="G261" s="76">
        <f>SUM(G259:G259)</f>
        <v>0.29700000000000004</v>
      </c>
    </row>
    <row r="262" spans="1:7">
      <c r="A262" s="589"/>
      <c r="B262" s="72"/>
      <c r="C262" s="73"/>
      <c r="D262" s="73"/>
      <c r="E262" s="76"/>
      <c r="F262" s="76"/>
      <c r="G262" s="76"/>
    </row>
    <row r="263" spans="1:7">
      <c r="A263" s="589"/>
      <c r="B263" s="72"/>
      <c r="C263" s="73"/>
      <c r="D263" s="73"/>
      <c r="E263" s="76"/>
      <c r="F263" s="76"/>
      <c r="G263" s="76"/>
    </row>
    <row r="264" spans="1:7">
      <c r="A264" s="589"/>
      <c r="B264" s="72"/>
      <c r="C264" s="73"/>
      <c r="D264" s="73"/>
      <c r="E264" s="76"/>
      <c r="F264" s="76"/>
      <c r="G264" s="76"/>
    </row>
    <row r="265" spans="1:7">
      <c r="A265" s="589"/>
      <c r="B265" s="72"/>
      <c r="C265" s="73"/>
      <c r="D265" s="73"/>
      <c r="E265" s="76"/>
      <c r="F265" s="76"/>
      <c r="G265" s="76"/>
    </row>
    <row r="266" spans="1:7">
      <c r="A266" s="589"/>
      <c r="B266" s="72"/>
      <c r="C266" s="73"/>
      <c r="D266" s="73"/>
      <c r="E266" s="76"/>
      <c r="F266" s="76"/>
      <c r="G266" s="76"/>
    </row>
    <row r="267" spans="1:7">
      <c r="A267" s="589"/>
      <c r="B267" s="72"/>
      <c r="C267" s="73" t="s">
        <v>605</v>
      </c>
      <c r="D267" s="73"/>
      <c r="E267" s="76"/>
      <c r="F267" s="76"/>
      <c r="G267" s="76">
        <f>G248+G261+G255</f>
        <v>54.335999999999991</v>
      </c>
    </row>
    <row r="268" spans="1:7">
      <c r="A268" s="589"/>
      <c r="B268" s="72"/>
      <c r="C268" s="73" t="s">
        <v>331</v>
      </c>
      <c r="D268" s="73"/>
      <c r="E268" s="76"/>
      <c r="F268" s="76"/>
      <c r="G268" s="634">
        <f>G267</f>
        <v>54.335999999999991</v>
      </c>
    </row>
    <row r="269" spans="1:7">
      <c r="A269" s="613"/>
      <c r="B269" s="614"/>
      <c r="C269" s="615"/>
      <c r="D269" s="615"/>
      <c r="E269" s="616"/>
      <c r="F269" s="616"/>
      <c r="G269" s="617"/>
    </row>
    <row r="270" spans="1:7">
      <c r="A270" s="618"/>
      <c r="B270" s="579"/>
      <c r="C270" s="619"/>
      <c r="D270" s="619"/>
      <c r="E270" s="620"/>
      <c r="F270" s="620"/>
      <c r="G270" s="621"/>
    </row>
    <row r="271" spans="1:7" ht="24.75">
      <c r="A271" s="605" t="s">
        <v>666</v>
      </c>
      <c r="B271" s="622" t="s">
        <v>109</v>
      </c>
      <c r="C271" s="623" t="s">
        <v>300</v>
      </c>
      <c r="D271" s="624" t="s">
        <v>17</v>
      </c>
      <c r="E271" s="625"/>
      <c r="F271" s="626">
        <f>G297</f>
        <v>63.545999999999992</v>
      </c>
      <c r="G271" s="627">
        <f>F271*E271</f>
        <v>0</v>
      </c>
    </row>
    <row r="272" spans="1:7">
      <c r="A272" s="589"/>
      <c r="B272" s="72"/>
      <c r="C272" s="64" t="s">
        <v>590</v>
      </c>
      <c r="D272" s="64" t="s">
        <v>194</v>
      </c>
      <c r="E272" s="598" t="s">
        <v>591</v>
      </c>
      <c r="F272" s="598" t="s">
        <v>592</v>
      </c>
      <c r="G272" s="598" t="s">
        <v>593</v>
      </c>
    </row>
    <row r="273" spans="1:13" ht="24.75">
      <c r="A273" s="67" t="s">
        <v>184</v>
      </c>
      <c r="B273" s="72">
        <v>367</v>
      </c>
      <c r="C273" s="81" t="s">
        <v>667</v>
      </c>
      <c r="D273" s="69" t="s">
        <v>53</v>
      </c>
      <c r="E273" s="592">
        <v>0.1</v>
      </c>
      <c r="F273" s="82">
        <v>60</v>
      </c>
      <c r="G273" s="76">
        <f>+E273*F273</f>
        <v>6</v>
      </c>
      <c r="J273" s="631" t="s">
        <v>609</v>
      </c>
      <c r="K273" s="575" t="s">
        <v>610</v>
      </c>
      <c r="L273" s="631" t="s">
        <v>611</v>
      </c>
    </row>
    <row r="274" spans="1:13" ht="33.75">
      <c r="A274" s="67" t="s">
        <v>184</v>
      </c>
      <c r="B274" s="72">
        <v>36154</v>
      </c>
      <c r="C274" s="81" t="s">
        <v>668</v>
      </c>
      <c r="D274" s="69" t="s">
        <v>17</v>
      </c>
      <c r="E274" s="592">
        <v>1</v>
      </c>
      <c r="F274" s="82">
        <v>49.87</v>
      </c>
      <c r="G274" s="76">
        <f>+E274*F274</f>
        <v>49.87</v>
      </c>
      <c r="J274" s="632">
        <v>35.200000000000003</v>
      </c>
      <c r="K274" s="632">
        <v>44.4</v>
      </c>
      <c r="L274" s="632">
        <v>40</v>
      </c>
      <c r="M274" s="61">
        <f>(J274+K274+L274)/2</f>
        <v>59.8</v>
      </c>
    </row>
    <row r="275" spans="1:13">
      <c r="A275" s="589"/>
      <c r="B275" s="72"/>
      <c r="C275" s="81"/>
      <c r="D275" s="69"/>
      <c r="E275" s="633"/>
      <c r="F275" s="82"/>
      <c r="G275" s="76"/>
    </row>
    <row r="276" spans="1:13">
      <c r="A276" s="589"/>
      <c r="B276" s="72"/>
      <c r="C276" s="635"/>
      <c r="D276" s="635"/>
      <c r="E276" s="636"/>
      <c r="F276" s="636"/>
      <c r="G276" s="82"/>
    </row>
    <row r="277" spans="1:13">
      <c r="A277" s="589"/>
      <c r="B277" s="72"/>
      <c r="C277" s="73" t="s">
        <v>594</v>
      </c>
      <c r="D277" s="73"/>
      <c r="E277" s="76"/>
      <c r="F277" s="82"/>
      <c r="G277" s="82">
        <f>SUM(G273:G275)</f>
        <v>55.87</v>
      </c>
    </row>
    <row r="278" spans="1:13">
      <c r="A278" s="589"/>
      <c r="B278" s="72"/>
      <c r="C278" s="64" t="s">
        <v>595</v>
      </c>
      <c r="D278" s="64" t="s">
        <v>194</v>
      </c>
      <c r="E278" s="598" t="s">
        <v>591</v>
      </c>
      <c r="F278" s="598" t="s">
        <v>592</v>
      </c>
      <c r="G278" s="598" t="s">
        <v>593</v>
      </c>
    </row>
    <row r="279" spans="1:13" ht="24.75">
      <c r="A279" s="67" t="s">
        <v>188</v>
      </c>
      <c r="B279" s="72">
        <v>88260</v>
      </c>
      <c r="C279" s="73" t="s">
        <v>205</v>
      </c>
      <c r="D279" s="69" t="s">
        <v>604</v>
      </c>
      <c r="E279" s="592">
        <v>0.25</v>
      </c>
      <c r="F279" s="70">
        <v>12.94</v>
      </c>
      <c r="G279" s="70">
        <f>+E279*F279</f>
        <v>3.2349999999999999</v>
      </c>
    </row>
    <row r="280" spans="1:13" ht="24.75">
      <c r="A280" s="67" t="s">
        <v>188</v>
      </c>
      <c r="B280" s="72">
        <v>88316</v>
      </c>
      <c r="C280" s="73" t="s">
        <v>202</v>
      </c>
      <c r="D280" s="69" t="s">
        <v>604</v>
      </c>
      <c r="E280" s="592">
        <v>0.37</v>
      </c>
      <c r="F280" s="70">
        <v>11.2</v>
      </c>
      <c r="G280" s="70">
        <f>+E280*F280</f>
        <v>4.1440000000000001</v>
      </c>
    </row>
    <row r="281" spans="1:13">
      <c r="A281" s="589"/>
      <c r="B281" s="72"/>
      <c r="C281" s="81"/>
      <c r="D281" s="69"/>
      <c r="E281" s="633"/>
      <c r="F281" s="82"/>
      <c r="G281" s="76"/>
    </row>
    <row r="282" spans="1:13">
      <c r="A282" s="589"/>
      <c r="B282" s="72"/>
      <c r="C282" s="73" t="s">
        <v>253</v>
      </c>
      <c r="D282" s="69"/>
      <c r="E282" s="610"/>
      <c r="F282" s="76"/>
      <c r="G282" s="76">
        <f>SUM(G279:G281)</f>
        <v>7.3789999999999996</v>
      </c>
    </row>
    <row r="283" spans="1:13">
      <c r="A283" s="589"/>
      <c r="B283" s="72"/>
      <c r="C283" s="73"/>
      <c r="D283" s="69"/>
      <c r="E283" s="610"/>
      <c r="F283" s="76"/>
      <c r="G283" s="76"/>
    </row>
    <row r="284" spans="1:13">
      <c r="A284" s="589"/>
      <c r="B284" s="72"/>
      <c r="C284" s="73" t="s">
        <v>597</v>
      </c>
      <c r="D284" s="73"/>
      <c r="E284" s="76"/>
      <c r="F284" s="76"/>
      <c r="G284" s="76">
        <f>G282</f>
        <v>7.3789999999999996</v>
      </c>
    </row>
    <row r="285" spans="1:13">
      <c r="A285" s="589"/>
      <c r="B285" s="72"/>
      <c r="C285" s="73"/>
      <c r="D285" s="73"/>
      <c r="E285" s="76"/>
      <c r="F285" s="76"/>
      <c r="G285" s="76"/>
    </row>
    <row r="286" spans="1:13">
      <c r="A286" s="589"/>
      <c r="B286" s="72"/>
      <c r="C286" s="73"/>
      <c r="D286" s="73"/>
      <c r="E286" s="70"/>
      <c r="F286" s="70"/>
      <c r="G286" s="70"/>
    </row>
    <row r="287" spans="1:13">
      <c r="A287" s="589"/>
      <c r="B287" s="72"/>
      <c r="C287" s="597" t="s">
        <v>598</v>
      </c>
      <c r="D287" s="64" t="s">
        <v>194</v>
      </c>
      <c r="E287" s="598" t="s">
        <v>591</v>
      </c>
      <c r="F287" s="598" t="s">
        <v>592</v>
      </c>
      <c r="G287" s="598" t="s">
        <v>593</v>
      </c>
    </row>
    <row r="288" spans="1:13" ht="24.75">
      <c r="A288" s="67" t="s">
        <v>184</v>
      </c>
      <c r="B288" s="72">
        <v>1443</v>
      </c>
      <c r="C288" s="80" t="s">
        <v>206</v>
      </c>
      <c r="D288" s="69" t="s">
        <v>604</v>
      </c>
      <c r="E288" s="612">
        <v>0.11</v>
      </c>
      <c r="F288" s="70">
        <v>2.7</v>
      </c>
      <c r="G288" s="70">
        <f>+E288*F288</f>
        <v>0.29700000000000004</v>
      </c>
    </row>
    <row r="289" spans="1:19">
      <c r="A289" s="589"/>
      <c r="B289" s="72"/>
      <c r="C289" s="68"/>
      <c r="D289" s="69"/>
      <c r="E289" s="599"/>
      <c r="F289" s="91"/>
      <c r="G289" s="91"/>
    </row>
    <row r="290" spans="1:19">
      <c r="A290" s="589"/>
      <c r="B290" s="72"/>
      <c r="C290" s="73" t="s">
        <v>599</v>
      </c>
      <c r="D290" s="73"/>
      <c r="E290" s="76"/>
      <c r="F290" s="76"/>
      <c r="G290" s="76">
        <f>SUM(G288:G288)</f>
        <v>0.29700000000000004</v>
      </c>
    </row>
    <row r="291" spans="1:19">
      <c r="A291" s="589"/>
      <c r="B291" s="72"/>
      <c r="C291" s="73"/>
      <c r="D291" s="73"/>
      <c r="E291" s="76"/>
      <c r="F291" s="76"/>
      <c r="G291" s="76"/>
    </row>
    <row r="292" spans="1:19">
      <c r="A292" s="589"/>
      <c r="B292" s="72"/>
      <c r="C292" s="73"/>
      <c r="D292" s="73"/>
      <c r="E292" s="76"/>
      <c r="F292" s="76"/>
      <c r="G292" s="76"/>
    </row>
    <row r="293" spans="1:19">
      <c r="A293" s="589"/>
      <c r="B293" s="72"/>
      <c r="C293" s="73"/>
      <c r="D293" s="73"/>
      <c r="E293" s="76"/>
      <c r="F293" s="76"/>
      <c r="G293" s="76"/>
    </row>
    <row r="294" spans="1:19">
      <c r="A294" s="589"/>
      <c r="B294" s="72"/>
      <c r="C294" s="73"/>
      <c r="D294" s="73"/>
      <c r="E294" s="76"/>
      <c r="F294" s="76"/>
      <c r="G294" s="76"/>
    </row>
    <row r="295" spans="1:19">
      <c r="A295" s="589"/>
      <c r="B295" s="72"/>
      <c r="C295" s="73"/>
      <c r="D295" s="73"/>
      <c r="E295" s="76"/>
      <c r="F295" s="76"/>
      <c r="G295" s="76"/>
    </row>
    <row r="296" spans="1:19">
      <c r="A296" s="589"/>
      <c r="B296" s="72"/>
      <c r="C296" s="73" t="s">
        <v>605</v>
      </c>
      <c r="D296" s="73"/>
      <c r="E296" s="76"/>
      <c r="F296" s="76"/>
      <c r="G296" s="76">
        <f>G277+G290+G284</f>
        <v>63.545999999999992</v>
      </c>
    </row>
    <row r="297" spans="1:19">
      <c r="A297" s="589"/>
      <c r="B297" s="72"/>
      <c r="C297" s="73" t="s">
        <v>331</v>
      </c>
      <c r="D297" s="73"/>
      <c r="E297" s="76"/>
      <c r="F297" s="76"/>
      <c r="G297" s="634">
        <f>G296</f>
        <v>63.545999999999992</v>
      </c>
    </row>
    <row r="298" spans="1:19">
      <c r="A298" s="613"/>
      <c r="B298" s="614"/>
      <c r="C298" s="615"/>
      <c r="D298" s="615"/>
      <c r="E298" s="616"/>
      <c r="F298" s="616"/>
      <c r="G298" s="617"/>
    </row>
    <row r="299" spans="1:19">
      <c r="A299" s="618"/>
      <c r="B299" s="579"/>
      <c r="C299" s="619"/>
      <c r="D299" s="619"/>
      <c r="E299" s="620"/>
      <c r="F299" s="620"/>
      <c r="G299" s="621"/>
    </row>
    <row r="300" spans="1:19" ht="33.75">
      <c r="A300" s="605" t="s">
        <v>669</v>
      </c>
      <c r="B300" s="622" t="s">
        <v>111</v>
      </c>
      <c r="C300" s="623" t="s">
        <v>301</v>
      </c>
      <c r="D300" s="624" t="s">
        <v>112</v>
      </c>
      <c r="E300" s="625"/>
      <c r="F300" s="626">
        <f>G319</f>
        <v>90.380149999999986</v>
      </c>
      <c r="G300" s="627">
        <f>F300*E300</f>
        <v>0</v>
      </c>
      <c r="H300" s="603"/>
      <c r="I300" s="603"/>
      <c r="J300" s="603"/>
      <c r="K300" s="603"/>
      <c r="L300" s="603"/>
      <c r="M300" s="74"/>
      <c r="N300" s="74"/>
      <c r="O300" s="74"/>
      <c r="P300" s="74"/>
      <c r="Q300" s="74"/>
      <c r="R300" s="74"/>
      <c r="S300" s="74"/>
    </row>
    <row r="301" spans="1:19">
      <c r="A301" s="589"/>
      <c r="B301" s="64"/>
      <c r="C301" s="64" t="s">
        <v>590</v>
      </c>
      <c r="D301" s="64" t="s">
        <v>194</v>
      </c>
      <c r="E301" s="598" t="s">
        <v>591</v>
      </c>
      <c r="F301" s="598" t="s">
        <v>592</v>
      </c>
      <c r="G301" s="598" t="s">
        <v>593</v>
      </c>
      <c r="J301" s="637"/>
      <c r="K301" s="637"/>
      <c r="L301" s="637"/>
    </row>
    <row r="302" spans="1:19" ht="45">
      <c r="A302" s="67" t="s">
        <v>188</v>
      </c>
      <c r="B302" s="72" t="s">
        <v>670</v>
      </c>
      <c r="C302" s="81" t="s">
        <v>671</v>
      </c>
      <c r="D302" s="69" t="s">
        <v>17</v>
      </c>
      <c r="E302" s="592">
        <v>0.93</v>
      </c>
      <c r="F302" s="82">
        <v>63.98</v>
      </c>
      <c r="G302" s="76">
        <f>+E302*F302</f>
        <v>59.501399999999997</v>
      </c>
      <c r="J302" s="631"/>
      <c r="K302" s="631"/>
      <c r="L302" s="631"/>
    </row>
    <row r="303" spans="1:19" ht="24.75">
      <c r="A303" s="67" t="s">
        <v>188</v>
      </c>
      <c r="B303" s="72">
        <v>87316</v>
      </c>
      <c r="C303" s="81" t="s">
        <v>209</v>
      </c>
      <c r="D303" s="69" t="s">
        <v>53</v>
      </c>
      <c r="E303" s="592">
        <v>2.5000000000000001E-2</v>
      </c>
      <c r="F303" s="82">
        <v>265.93</v>
      </c>
      <c r="G303" s="76">
        <f>+E303*F303</f>
        <v>6.6482500000000009</v>
      </c>
      <c r="J303" s="631"/>
      <c r="K303" s="631"/>
      <c r="L303" s="631"/>
    </row>
    <row r="304" spans="1:19" ht="24.75">
      <c r="A304" s="67" t="s">
        <v>188</v>
      </c>
      <c r="B304" s="72" t="s">
        <v>217</v>
      </c>
      <c r="C304" s="81" t="s">
        <v>672</v>
      </c>
      <c r="D304" s="69" t="s">
        <v>53</v>
      </c>
      <c r="E304" s="592">
        <v>6.2E-2</v>
      </c>
      <c r="F304" s="82">
        <v>315.75</v>
      </c>
      <c r="G304" s="76">
        <f>+E304*F304</f>
        <v>19.576499999999999</v>
      </c>
      <c r="J304" s="631"/>
      <c r="K304" s="631"/>
      <c r="L304" s="631"/>
    </row>
    <row r="305" spans="1:13">
      <c r="A305" s="589"/>
      <c r="B305" s="72"/>
      <c r="C305" s="81"/>
      <c r="D305" s="69"/>
      <c r="E305" s="592"/>
      <c r="F305" s="82"/>
      <c r="G305" s="76">
        <f>+E305*F305</f>
        <v>0</v>
      </c>
      <c r="J305" s="632"/>
      <c r="K305" s="632"/>
      <c r="L305" s="632"/>
      <c r="M305" s="61">
        <f>(J305+K305+L305)/3</f>
        <v>0</v>
      </c>
    </row>
    <row r="306" spans="1:13">
      <c r="A306" s="589"/>
      <c r="B306" s="72"/>
      <c r="C306" s="81"/>
      <c r="D306" s="69"/>
      <c r="E306" s="633"/>
      <c r="F306" s="82"/>
      <c r="G306" s="76"/>
    </row>
    <row r="307" spans="1:13">
      <c r="A307" s="589"/>
      <c r="B307" s="64"/>
      <c r="C307" s="73"/>
      <c r="D307" s="69"/>
      <c r="E307" s="608"/>
      <c r="F307" s="609"/>
      <c r="G307" s="82"/>
    </row>
    <row r="308" spans="1:13">
      <c r="A308" s="589"/>
      <c r="B308" s="64"/>
      <c r="C308" s="73" t="s">
        <v>594</v>
      </c>
      <c r="D308" s="73"/>
      <c r="E308" s="76"/>
      <c r="F308" s="82"/>
      <c r="G308" s="82">
        <f>SUM(G302:G307)</f>
        <v>85.72614999999999</v>
      </c>
    </row>
    <row r="309" spans="1:13">
      <c r="A309" s="589"/>
      <c r="B309" s="64"/>
      <c r="C309" s="64" t="s">
        <v>595</v>
      </c>
      <c r="D309" s="64" t="s">
        <v>194</v>
      </c>
      <c r="E309" s="598" t="s">
        <v>591</v>
      </c>
      <c r="F309" s="598" t="s">
        <v>592</v>
      </c>
      <c r="G309" s="598" t="s">
        <v>593</v>
      </c>
    </row>
    <row r="310" spans="1:13" ht="24.75">
      <c r="A310" s="67" t="s">
        <v>188</v>
      </c>
      <c r="B310" s="72">
        <v>88260</v>
      </c>
      <c r="C310" s="73" t="s">
        <v>205</v>
      </c>
      <c r="D310" s="69" t="s">
        <v>604</v>
      </c>
      <c r="E310" s="592">
        <v>0.1</v>
      </c>
      <c r="F310" s="70">
        <v>12.94</v>
      </c>
      <c r="G310" s="70">
        <f>+E310*F310</f>
        <v>1.294</v>
      </c>
    </row>
    <row r="311" spans="1:13" ht="24.75">
      <c r="A311" s="67" t="s">
        <v>188</v>
      </c>
      <c r="B311" s="72">
        <v>88316</v>
      </c>
      <c r="C311" s="73" t="s">
        <v>202</v>
      </c>
      <c r="D311" s="69" t="s">
        <v>604</v>
      </c>
      <c r="E311" s="592">
        <v>0.3</v>
      </c>
      <c r="F311" s="70">
        <v>11.2</v>
      </c>
      <c r="G311" s="70">
        <f>+E311*F311</f>
        <v>3.36</v>
      </c>
    </row>
    <row r="312" spans="1:13">
      <c r="A312" s="589"/>
      <c r="B312" s="64"/>
      <c r="C312" s="73"/>
      <c r="D312" s="69"/>
      <c r="E312" s="610"/>
      <c r="F312" s="76"/>
      <c r="G312" s="76"/>
    </row>
    <row r="313" spans="1:13">
      <c r="A313" s="589"/>
      <c r="B313" s="64"/>
      <c r="C313" s="73" t="s">
        <v>673</v>
      </c>
      <c r="D313" s="69"/>
      <c r="E313" s="612"/>
      <c r="F313" s="70"/>
      <c r="G313" s="70">
        <f>SUM(G310:G312)</f>
        <v>4.6539999999999999</v>
      </c>
    </row>
    <row r="314" spans="1:13">
      <c r="A314" s="589"/>
      <c r="B314" s="64"/>
      <c r="C314" s="73" t="s">
        <v>674</v>
      </c>
      <c r="D314" s="69"/>
      <c r="E314" s="612"/>
      <c r="F314" s="70"/>
      <c r="G314" s="70"/>
    </row>
    <row r="315" spans="1:13">
      <c r="A315" s="589"/>
      <c r="B315" s="64"/>
      <c r="C315" s="73" t="s">
        <v>597</v>
      </c>
      <c r="D315" s="73"/>
      <c r="E315" s="70"/>
      <c r="F315" s="70"/>
      <c r="G315" s="70">
        <f>SUM(G313:G314)</f>
        <v>4.6539999999999999</v>
      </c>
    </row>
    <row r="316" spans="1:13">
      <c r="A316" s="589"/>
      <c r="B316" s="64"/>
      <c r="C316" s="73"/>
      <c r="D316" s="73"/>
      <c r="E316" s="76"/>
      <c r="F316" s="76"/>
      <c r="G316" s="76"/>
    </row>
    <row r="317" spans="1:13">
      <c r="A317" s="589"/>
      <c r="B317" s="64"/>
      <c r="C317" s="73"/>
      <c r="D317" s="73"/>
      <c r="E317" s="76"/>
      <c r="F317" s="76"/>
      <c r="G317" s="76"/>
    </row>
    <row r="318" spans="1:13">
      <c r="A318" s="589"/>
      <c r="B318" s="64"/>
      <c r="C318" s="73" t="s">
        <v>675</v>
      </c>
      <c r="D318" s="73"/>
      <c r="E318" s="76"/>
      <c r="F318" s="76"/>
      <c r="G318" s="76">
        <f>G308+G315</f>
        <v>90.380149999999986</v>
      </c>
    </row>
    <row r="319" spans="1:13">
      <c r="A319" s="589"/>
      <c r="B319" s="64"/>
      <c r="C319" s="73" t="s">
        <v>331</v>
      </c>
      <c r="D319" s="73"/>
      <c r="E319" s="76"/>
      <c r="F319" s="76"/>
      <c r="G319" s="600">
        <f>G318</f>
        <v>90.380149999999986</v>
      </c>
    </row>
    <row r="320" spans="1:13">
      <c r="A320" s="613"/>
      <c r="B320" s="614"/>
      <c r="C320" s="615"/>
      <c r="D320" s="615"/>
      <c r="E320" s="616"/>
      <c r="F320" s="616"/>
      <c r="G320" s="617"/>
    </row>
    <row r="321" spans="1:7">
      <c r="A321" s="618"/>
      <c r="B321" s="579"/>
      <c r="C321" s="619"/>
      <c r="D321" s="619"/>
      <c r="E321" s="620"/>
      <c r="F321" s="620"/>
      <c r="G321" s="621"/>
    </row>
    <row r="322" spans="1:7" ht="22.5">
      <c r="A322" s="638"/>
      <c r="B322" s="622" t="s">
        <v>140</v>
      </c>
      <c r="C322" s="623" t="s">
        <v>305</v>
      </c>
      <c r="D322" s="624" t="s">
        <v>112</v>
      </c>
      <c r="E322" s="625"/>
      <c r="F322" s="626">
        <f>G344</f>
        <v>22.03</v>
      </c>
      <c r="G322" s="627"/>
    </row>
    <row r="323" spans="1:7">
      <c r="A323" s="639"/>
      <c r="B323" s="64"/>
      <c r="C323" s="64" t="s">
        <v>590</v>
      </c>
      <c r="D323" s="64" t="s">
        <v>194</v>
      </c>
      <c r="E323" s="640" t="s">
        <v>591</v>
      </c>
      <c r="F323" s="640" t="s">
        <v>592</v>
      </c>
      <c r="G323" s="640" t="s">
        <v>593</v>
      </c>
    </row>
    <row r="324" spans="1:7">
      <c r="A324" s="639"/>
      <c r="B324" s="64"/>
      <c r="C324" s="64"/>
      <c r="D324" s="64"/>
      <c r="E324" s="640"/>
      <c r="F324" s="640"/>
      <c r="G324" s="640"/>
    </row>
    <row r="325" spans="1:7" ht="24.75">
      <c r="A325" s="67" t="s">
        <v>188</v>
      </c>
      <c r="B325" s="72">
        <v>91862</v>
      </c>
      <c r="C325" s="83" t="s">
        <v>676</v>
      </c>
      <c r="D325" s="69" t="s">
        <v>112</v>
      </c>
      <c r="E325" s="592">
        <v>1</v>
      </c>
      <c r="F325" s="84">
        <v>3.41</v>
      </c>
      <c r="G325" s="76">
        <f>+E325*F325</f>
        <v>3.41</v>
      </c>
    </row>
    <row r="326" spans="1:7" ht="24.75">
      <c r="A326" s="67" t="s">
        <v>188</v>
      </c>
      <c r="B326" s="72">
        <v>91874</v>
      </c>
      <c r="C326" s="68" t="s">
        <v>677</v>
      </c>
      <c r="D326" s="69" t="s">
        <v>194</v>
      </c>
      <c r="E326" s="592">
        <v>1</v>
      </c>
      <c r="F326" s="84">
        <v>3.3</v>
      </c>
      <c r="G326" s="76">
        <f>+E326*F326</f>
        <v>3.3</v>
      </c>
    </row>
    <row r="327" spans="1:7" ht="24.75">
      <c r="A327" s="67" t="s">
        <v>188</v>
      </c>
      <c r="B327" s="69">
        <v>90444</v>
      </c>
      <c r="C327" s="68" t="s">
        <v>678</v>
      </c>
      <c r="D327" s="69" t="s">
        <v>112</v>
      </c>
      <c r="E327" s="641">
        <v>1</v>
      </c>
      <c r="F327" s="92">
        <v>15.32</v>
      </c>
      <c r="G327" s="76">
        <f>+E327*F327</f>
        <v>15.32</v>
      </c>
    </row>
    <row r="328" spans="1:7">
      <c r="A328" s="639"/>
      <c r="B328" s="93"/>
      <c r="C328" s="68"/>
      <c r="D328" s="69"/>
      <c r="E328" s="641"/>
      <c r="F328" s="84"/>
      <c r="G328" s="84"/>
    </row>
    <row r="329" spans="1:7">
      <c r="A329" s="639"/>
      <c r="B329" s="64"/>
      <c r="C329" s="73" t="s">
        <v>594</v>
      </c>
      <c r="D329" s="73"/>
      <c r="E329" s="642"/>
      <c r="F329" s="643"/>
      <c r="G329" s="643">
        <f>SUM(G325:G327)</f>
        <v>22.03</v>
      </c>
    </row>
    <row r="330" spans="1:7">
      <c r="A330" s="639"/>
      <c r="B330" s="64"/>
      <c r="C330" s="73"/>
      <c r="D330" s="73"/>
      <c r="E330" s="642"/>
      <c r="F330" s="643"/>
      <c r="G330" s="643"/>
    </row>
    <row r="331" spans="1:7">
      <c r="A331" s="639"/>
      <c r="B331" s="64"/>
      <c r="C331" s="64" t="s">
        <v>595</v>
      </c>
      <c r="D331" s="64" t="s">
        <v>194</v>
      </c>
      <c r="E331" s="640" t="s">
        <v>591</v>
      </c>
      <c r="F331" s="640" t="s">
        <v>592</v>
      </c>
      <c r="G331" s="640" t="s">
        <v>593</v>
      </c>
    </row>
    <row r="332" spans="1:7">
      <c r="A332" s="644"/>
      <c r="B332" s="85"/>
      <c r="C332" s="73"/>
      <c r="D332" s="69"/>
      <c r="E332" s="592"/>
      <c r="F332" s="70"/>
      <c r="G332" s="76">
        <f>+E332*F332</f>
        <v>0</v>
      </c>
    </row>
    <row r="333" spans="1:7">
      <c r="A333" s="644"/>
      <c r="B333" s="85"/>
      <c r="C333" s="73"/>
      <c r="D333" s="69"/>
      <c r="E333" s="592"/>
      <c r="F333" s="70"/>
      <c r="G333" s="76">
        <f>+E333*F333</f>
        <v>0</v>
      </c>
    </row>
    <row r="334" spans="1:7">
      <c r="A334" s="644"/>
      <c r="B334" s="72"/>
      <c r="C334" s="73"/>
      <c r="D334" s="69"/>
      <c r="E334" s="610"/>
      <c r="F334" s="76"/>
      <c r="G334" s="76"/>
    </row>
    <row r="335" spans="1:7">
      <c r="A335" s="639"/>
      <c r="B335" s="64"/>
      <c r="C335" s="73" t="s">
        <v>673</v>
      </c>
      <c r="D335" s="69"/>
      <c r="E335" s="612"/>
      <c r="F335" s="70"/>
      <c r="G335" s="70">
        <f>SUM(G332:G333)</f>
        <v>0</v>
      </c>
    </row>
    <row r="336" spans="1:7">
      <c r="A336" s="639"/>
      <c r="B336" s="64"/>
      <c r="C336" s="73"/>
      <c r="D336" s="69"/>
      <c r="E336" s="612"/>
      <c r="F336" s="70"/>
      <c r="G336" s="70"/>
    </row>
    <row r="337" spans="1:7">
      <c r="A337" s="639"/>
      <c r="B337" s="64"/>
      <c r="C337" s="73" t="s">
        <v>597</v>
      </c>
      <c r="D337" s="73"/>
      <c r="E337" s="70"/>
      <c r="F337" s="70"/>
      <c r="G337" s="70">
        <f>SUM(G335:G335)</f>
        <v>0</v>
      </c>
    </row>
    <row r="338" spans="1:7">
      <c r="A338" s="639"/>
      <c r="B338" s="64"/>
      <c r="C338" s="73"/>
      <c r="D338" s="73"/>
      <c r="E338" s="642"/>
      <c r="F338" s="642"/>
      <c r="G338" s="642"/>
    </row>
    <row r="339" spans="1:7">
      <c r="A339" s="639"/>
      <c r="B339" s="64"/>
      <c r="C339" s="597" t="s">
        <v>598</v>
      </c>
      <c r="D339" s="64" t="s">
        <v>194</v>
      </c>
      <c r="E339" s="640" t="s">
        <v>591</v>
      </c>
      <c r="F339" s="640" t="s">
        <v>592</v>
      </c>
      <c r="G339" s="640" t="s">
        <v>593</v>
      </c>
    </row>
    <row r="340" spans="1:7">
      <c r="A340" s="639"/>
      <c r="B340" s="64"/>
      <c r="C340" s="68"/>
      <c r="D340" s="69"/>
      <c r="E340" s="599"/>
      <c r="F340" s="91"/>
      <c r="G340" s="91"/>
    </row>
    <row r="341" spans="1:7">
      <c r="A341" s="639"/>
      <c r="B341" s="64"/>
      <c r="C341" s="73" t="s">
        <v>599</v>
      </c>
      <c r="D341" s="73"/>
      <c r="E341" s="642"/>
      <c r="F341" s="642"/>
      <c r="G341" s="642">
        <f>SUM(G340:G340)</f>
        <v>0</v>
      </c>
    </row>
    <row r="342" spans="1:7">
      <c r="A342" s="639"/>
      <c r="B342" s="64"/>
      <c r="C342" s="73"/>
      <c r="D342" s="73"/>
      <c r="E342" s="642"/>
      <c r="F342" s="642"/>
      <c r="G342" s="642"/>
    </row>
    <row r="343" spans="1:7">
      <c r="A343" s="639"/>
      <c r="B343" s="64"/>
      <c r="C343" s="73" t="s">
        <v>605</v>
      </c>
      <c r="D343" s="73"/>
      <c r="E343" s="642"/>
      <c r="F343" s="642"/>
      <c r="G343" s="642">
        <f>G329+G337+G341</f>
        <v>22.03</v>
      </c>
    </row>
    <row r="344" spans="1:7">
      <c r="A344" s="639"/>
      <c r="B344" s="64"/>
      <c r="C344" s="597" t="s">
        <v>331</v>
      </c>
      <c r="D344" s="73"/>
      <c r="E344" s="76"/>
      <c r="F344" s="76"/>
      <c r="G344" s="600">
        <f>G343</f>
        <v>22.03</v>
      </c>
    </row>
    <row r="345" spans="1:7">
      <c r="A345" s="613"/>
      <c r="B345" s="614"/>
      <c r="C345" s="615"/>
      <c r="D345" s="615"/>
      <c r="E345" s="616"/>
      <c r="F345" s="616"/>
      <c r="G345" s="617"/>
    </row>
    <row r="346" spans="1:7">
      <c r="A346" s="618"/>
      <c r="B346" s="579"/>
      <c r="C346" s="619"/>
      <c r="D346" s="619"/>
      <c r="E346" s="620"/>
      <c r="F346" s="620"/>
      <c r="G346" s="621"/>
    </row>
    <row r="347" spans="1:7" ht="22.5">
      <c r="A347" s="638"/>
      <c r="B347" s="622" t="s">
        <v>142</v>
      </c>
      <c r="C347" s="623" t="s">
        <v>307</v>
      </c>
      <c r="D347" s="624" t="s">
        <v>112</v>
      </c>
      <c r="E347" s="625"/>
      <c r="F347" s="626">
        <f>G369</f>
        <v>70.69</v>
      </c>
      <c r="G347" s="627"/>
    </row>
    <row r="348" spans="1:7">
      <c r="A348" s="639"/>
      <c r="B348" s="64"/>
      <c r="C348" s="64" t="s">
        <v>590</v>
      </c>
      <c r="D348" s="64" t="s">
        <v>194</v>
      </c>
      <c r="E348" s="640" t="s">
        <v>591</v>
      </c>
      <c r="F348" s="640" t="s">
        <v>592</v>
      </c>
      <c r="G348" s="640" t="s">
        <v>593</v>
      </c>
    </row>
    <row r="349" spans="1:7">
      <c r="A349" s="639"/>
      <c r="B349" s="64"/>
      <c r="C349" s="64"/>
      <c r="D349" s="64"/>
      <c r="E349" s="640"/>
      <c r="F349" s="640"/>
      <c r="G349" s="640"/>
    </row>
    <row r="350" spans="1:7" ht="24.75">
      <c r="A350" s="67" t="s">
        <v>188</v>
      </c>
      <c r="B350" s="72">
        <v>93010</v>
      </c>
      <c r="C350" s="83" t="s">
        <v>679</v>
      </c>
      <c r="D350" s="69" t="s">
        <v>112</v>
      </c>
      <c r="E350" s="592">
        <v>1</v>
      </c>
      <c r="F350" s="84">
        <v>24.15</v>
      </c>
      <c r="G350" s="76">
        <f>+E350*F350</f>
        <v>24.15</v>
      </c>
    </row>
    <row r="351" spans="1:7" ht="24.75">
      <c r="A351" s="67" t="s">
        <v>188</v>
      </c>
      <c r="B351" s="72">
        <v>93015</v>
      </c>
      <c r="C351" s="68" t="s">
        <v>680</v>
      </c>
      <c r="D351" s="69" t="s">
        <v>194</v>
      </c>
      <c r="E351" s="592">
        <v>1</v>
      </c>
      <c r="F351" s="84">
        <v>30.18</v>
      </c>
      <c r="G351" s="76">
        <f>+E351*F351</f>
        <v>30.18</v>
      </c>
    </row>
    <row r="352" spans="1:7" ht="24.75">
      <c r="A352" s="67" t="s">
        <v>188</v>
      </c>
      <c r="B352" s="69">
        <v>90445</v>
      </c>
      <c r="C352" s="68" t="s">
        <v>681</v>
      </c>
      <c r="D352" s="69" t="s">
        <v>112</v>
      </c>
      <c r="E352" s="641">
        <v>1</v>
      </c>
      <c r="F352" s="92">
        <v>16.36</v>
      </c>
      <c r="G352" s="76">
        <f>+E352*F352</f>
        <v>16.36</v>
      </c>
    </row>
    <row r="353" spans="1:7">
      <c r="A353" s="639"/>
      <c r="B353" s="93"/>
      <c r="C353" s="68"/>
      <c r="D353" s="69"/>
      <c r="E353" s="641"/>
      <c r="F353" s="84"/>
      <c r="G353" s="84"/>
    </row>
    <row r="354" spans="1:7">
      <c r="A354" s="639"/>
      <c r="B354" s="64"/>
      <c r="C354" s="73" t="s">
        <v>594</v>
      </c>
      <c r="D354" s="73"/>
      <c r="E354" s="642"/>
      <c r="F354" s="643"/>
      <c r="G354" s="643">
        <f>SUM(G350:G352)</f>
        <v>70.69</v>
      </c>
    </row>
    <row r="355" spans="1:7">
      <c r="A355" s="639"/>
      <c r="B355" s="64"/>
      <c r="C355" s="73"/>
      <c r="D355" s="73"/>
      <c r="E355" s="642"/>
      <c r="F355" s="643"/>
      <c r="G355" s="643"/>
    </row>
    <row r="356" spans="1:7">
      <c r="A356" s="639"/>
      <c r="B356" s="64"/>
      <c r="C356" s="64" t="s">
        <v>595</v>
      </c>
      <c r="D356" s="64" t="s">
        <v>194</v>
      </c>
      <c r="E356" s="640" t="s">
        <v>591</v>
      </c>
      <c r="F356" s="640" t="s">
        <v>592</v>
      </c>
      <c r="G356" s="640" t="s">
        <v>593</v>
      </c>
    </row>
    <row r="357" spans="1:7">
      <c r="A357" s="644"/>
      <c r="B357" s="85"/>
      <c r="C357" s="73"/>
      <c r="D357" s="69"/>
      <c r="E357" s="592"/>
      <c r="F357" s="70"/>
      <c r="G357" s="76">
        <f>+E357*F357</f>
        <v>0</v>
      </c>
    </row>
    <row r="358" spans="1:7">
      <c r="A358" s="644"/>
      <c r="B358" s="85"/>
      <c r="C358" s="73"/>
      <c r="D358" s="69"/>
      <c r="E358" s="592"/>
      <c r="F358" s="70"/>
      <c r="G358" s="76">
        <f>+E358*F358</f>
        <v>0</v>
      </c>
    </row>
    <row r="359" spans="1:7">
      <c r="A359" s="644"/>
      <c r="B359" s="72"/>
      <c r="C359" s="73"/>
      <c r="D359" s="69"/>
      <c r="E359" s="610"/>
      <c r="F359" s="76"/>
      <c r="G359" s="76"/>
    </row>
    <row r="360" spans="1:7">
      <c r="A360" s="639"/>
      <c r="B360" s="64"/>
      <c r="C360" s="73" t="s">
        <v>673</v>
      </c>
      <c r="D360" s="69"/>
      <c r="E360" s="612"/>
      <c r="F360" s="70"/>
      <c r="G360" s="70">
        <f>SUM(G357:G358)</f>
        <v>0</v>
      </c>
    </row>
    <row r="361" spans="1:7">
      <c r="A361" s="639"/>
      <c r="B361" s="64"/>
      <c r="C361" s="73"/>
      <c r="D361" s="69"/>
      <c r="E361" s="612"/>
      <c r="F361" s="70"/>
      <c r="G361" s="70"/>
    </row>
    <row r="362" spans="1:7">
      <c r="A362" s="639"/>
      <c r="B362" s="64"/>
      <c r="C362" s="73" t="s">
        <v>597</v>
      </c>
      <c r="D362" s="73"/>
      <c r="E362" s="70"/>
      <c r="F362" s="70"/>
      <c r="G362" s="70">
        <f>SUM(G360:G360)</f>
        <v>0</v>
      </c>
    </row>
    <row r="363" spans="1:7">
      <c r="A363" s="639"/>
      <c r="B363" s="64"/>
      <c r="C363" s="73"/>
      <c r="D363" s="73"/>
      <c r="E363" s="642"/>
      <c r="F363" s="642"/>
      <c r="G363" s="642"/>
    </row>
    <row r="364" spans="1:7">
      <c r="A364" s="639"/>
      <c r="B364" s="64"/>
      <c r="C364" s="597" t="s">
        <v>598</v>
      </c>
      <c r="D364" s="64" t="s">
        <v>194</v>
      </c>
      <c r="E364" s="640" t="s">
        <v>591</v>
      </c>
      <c r="F364" s="640" t="s">
        <v>592</v>
      </c>
      <c r="G364" s="640" t="s">
        <v>593</v>
      </c>
    </row>
    <row r="365" spans="1:7">
      <c r="A365" s="639"/>
      <c r="B365" s="64"/>
      <c r="C365" s="68"/>
      <c r="D365" s="69"/>
      <c r="E365" s="599"/>
      <c r="F365" s="91"/>
      <c r="G365" s="91"/>
    </row>
    <row r="366" spans="1:7">
      <c r="A366" s="639"/>
      <c r="B366" s="64"/>
      <c r="C366" s="73" t="s">
        <v>599</v>
      </c>
      <c r="D366" s="73"/>
      <c r="E366" s="642"/>
      <c r="F366" s="642"/>
      <c r="G366" s="642">
        <f>SUM(G365:G365)</f>
        <v>0</v>
      </c>
    </row>
    <row r="367" spans="1:7">
      <c r="A367" s="639"/>
      <c r="B367" s="64"/>
      <c r="C367" s="73"/>
      <c r="D367" s="73"/>
      <c r="E367" s="642"/>
      <c r="F367" s="642"/>
      <c r="G367" s="642"/>
    </row>
    <row r="368" spans="1:7">
      <c r="A368" s="639"/>
      <c r="B368" s="64"/>
      <c r="C368" s="73" t="s">
        <v>605</v>
      </c>
      <c r="D368" s="73"/>
      <c r="E368" s="642"/>
      <c r="F368" s="642"/>
      <c r="G368" s="642">
        <f>G354+G362+G366</f>
        <v>70.69</v>
      </c>
    </row>
    <row r="369" spans="1:7">
      <c r="A369" s="639"/>
      <c r="B369" s="64"/>
      <c r="C369" s="597" t="s">
        <v>331</v>
      </c>
      <c r="D369" s="73"/>
      <c r="E369" s="76"/>
      <c r="F369" s="76"/>
      <c r="G369" s="600">
        <f>G368</f>
        <v>70.69</v>
      </c>
    </row>
    <row r="370" spans="1:7">
      <c r="A370" s="613"/>
      <c r="B370" s="614"/>
      <c r="C370" s="615"/>
      <c r="D370" s="615"/>
      <c r="E370" s="616"/>
      <c r="F370" s="616"/>
      <c r="G370" s="617"/>
    </row>
    <row r="371" spans="1:7">
      <c r="A371" s="618"/>
      <c r="B371" s="579"/>
      <c r="C371" s="619"/>
      <c r="D371" s="619"/>
      <c r="E371" s="620"/>
      <c r="F371" s="620"/>
      <c r="G371" s="621"/>
    </row>
    <row r="372" spans="1:7" ht="39" customHeight="1">
      <c r="A372" s="605"/>
      <c r="B372" s="622" t="s">
        <v>144</v>
      </c>
      <c r="C372" s="623" t="s">
        <v>309</v>
      </c>
      <c r="D372" s="624" t="s">
        <v>112</v>
      </c>
      <c r="E372" s="625"/>
      <c r="F372" s="626">
        <f>G393</f>
        <v>50.878</v>
      </c>
      <c r="G372" s="627"/>
    </row>
    <row r="373" spans="1:7">
      <c r="A373" s="589"/>
      <c r="B373" s="72"/>
      <c r="C373" s="64" t="s">
        <v>590</v>
      </c>
      <c r="D373" s="64" t="s">
        <v>194</v>
      </c>
      <c r="E373" s="590" t="s">
        <v>591</v>
      </c>
      <c r="F373" s="590" t="s">
        <v>592</v>
      </c>
      <c r="G373" s="590" t="s">
        <v>593</v>
      </c>
    </row>
    <row r="374" spans="1:7" ht="24.75">
      <c r="A374" s="67" t="s">
        <v>188</v>
      </c>
      <c r="B374" s="69">
        <v>91863</v>
      </c>
      <c r="C374" s="86" t="s">
        <v>682</v>
      </c>
      <c r="D374" s="69" t="s">
        <v>112</v>
      </c>
      <c r="E374" s="592">
        <v>1</v>
      </c>
      <c r="F374" s="87">
        <v>4.49</v>
      </c>
      <c r="G374" s="82">
        <f>F374*E374</f>
        <v>4.49</v>
      </c>
    </row>
    <row r="375" spans="1:7" ht="24.75">
      <c r="A375" s="67" t="s">
        <v>188</v>
      </c>
      <c r="B375" s="69">
        <v>91884</v>
      </c>
      <c r="C375" s="86" t="s">
        <v>683</v>
      </c>
      <c r="D375" s="69" t="s">
        <v>194</v>
      </c>
      <c r="E375" s="592">
        <v>1</v>
      </c>
      <c r="F375" s="87">
        <v>5.81</v>
      </c>
      <c r="G375" s="82">
        <f>F375*E375</f>
        <v>5.81</v>
      </c>
    </row>
    <row r="376" spans="1:7" ht="24.75">
      <c r="A376" s="67" t="s">
        <v>188</v>
      </c>
      <c r="B376" s="75" t="s">
        <v>51</v>
      </c>
      <c r="C376" s="88" t="s">
        <v>52</v>
      </c>
      <c r="D376" s="69" t="s">
        <v>219</v>
      </c>
      <c r="E376" s="645">
        <f>1*0.3*0.4</f>
        <v>0.12</v>
      </c>
      <c r="F376" s="87">
        <v>22.4</v>
      </c>
      <c r="G376" s="82">
        <f>F376*E376</f>
        <v>2.6879999999999997</v>
      </c>
    </row>
    <row r="377" spans="1:7" ht="24.75">
      <c r="A377" s="67" t="s">
        <v>188</v>
      </c>
      <c r="B377" s="89" t="s">
        <v>217</v>
      </c>
      <c r="C377" s="90" t="s">
        <v>218</v>
      </c>
      <c r="D377" s="69" t="s">
        <v>219</v>
      </c>
      <c r="E377" s="592">
        <f>E376</f>
        <v>0.12</v>
      </c>
      <c r="F377" s="87">
        <v>315.75</v>
      </c>
      <c r="G377" s="82">
        <f>F377*E377</f>
        <v>37.89</v>
      </c>
    </row>
    <row r="378" spans="1:7">
      <c r="A378" s="589"/>
      <c r="B378" s="72"/>
      <c r="C378" s="646"/>
      <c r="D378" s="69"/>
      <c r="E378" s="647"/>
      <c r="F378" s="479"/>
      <c r="G378" s="648"/>
    </row>
    <row r="379" spans="1:7">
      <c r="A379" s="589"/>
      <c r="B379" s="72"/>
      <c r="C379" s="73" t="s">
        <v>594</v>
      </c>
      <c r="D379" s="73"/>
      <c r="E379" s="70"/>
      <c r="F379" s="649"/>
      <c r="G379" s="649">
        <f>SUM(G374:G377)</f>
        <v>50.878</v>
      </c>
    </row>
    <row r="380" spans="1:7">
      <c r="A380" s="589"/>
      <c r="B380" s="72"/>
      <c r="C380" s="64" t="s">
        <v>595</v>
      </c>
      <c r="D380" s="64" t="s">
        <v>194</v>
      </c>
      <c r="E380" s="590" t="s">
        <v>591</v>
      </c>
      <c r="F380" s="590" t="s">
        <v>592</v>
      </c>
      <c r="G380" s="590" t="s">
        <v>593</v>
      </c>
    </row>
    <row r="381" spans="1:7">
      <c r="A381" s="589"/>
      <c r="B381" s="72"/>
      <c r="C381" s="73"/>
      <c r="D381" s="69"/>
      <c r="E381" s="612"/>
      <c r="F381" s="70"/>
      <c r="G381" s="70"/>
    </row>
    <row r="382" spans="1:7">
      <c r="A382" s="589"/>
      <c r="B382" s="72"/>
      <c r="C382" s="73"/>
      <c r="D382" s="69"/>
      <c r="E382" s="612"/>
      <c r="F382" s="70"/>
      <c r="G382" s="70"/>
    </row>
    <row r="383" spans="1:7">
      <c r="A383" s="589"/>
      <c r="B383" s="72"/>
      <c r="C383" s="73" t="s">
        <v>673</v>
      </c>
      <c r="D383" s="69"/>
      <c r="E383" s="612"/>
      <c r="F383" s="70"/>
      <c r="G383" s="70">
        <f>SUM(G381:G382)</f>
        <v>0</v>
      </c>
    </row>
    <row r="384" spans="1:7">
      <c r="A384" s="589"/>
      <c r="B384" s="72"/>
      <c r="C384" s="73"/>
      <c r="D384" s="69"/>
      <c r="E384" s="612"/>
      <c r="F384" s="70"/>
      <c r="G384" s="70"/>
    </row>
    <row r="385" spans="1:7">
      <c r="A385" s="589"/>
      <c r="B385" s="72"/>
      <c r="C385" s="73" t="s">
        <v>597</v>
      </c>
      <c r="D385" s="73"/>
      <c r="E385" s="70"/>
      <c r="F385" s="70"/>
      <c r="G385" s="70">
        <f>SUM(G383)</f>
        <v>0</v>
      </c>
    </row>
    <row r="386" spans="1:7">
      <c r="A386" s="589"/>
      <c r="B386" s="72"/>
      <c r="C386" s="73"/>
      <c r="D386" s="73"/>
      <c r="E386" s="70"/>
      <c r="F386" s="70"/>
      <c r="G386" s="70"/>
    </row>
    <row r="387" spans="1:7">
      <c r="A387" s="589"/>
      <c r="B387" s="64"/>
      <c r="C387" s="597" t="s">
        <v>598</v>
      </c>
      <c r="D387" s="64" t="s">
        <v>194</v>
      </c>
      <c r="E387" s="598" t="s">
        <v>591</v>
      </c>
      <c r="F387" s="598" t="s">
        <v>592</v>
      </c>
      <c r="G387" s="598" t="s">
        <v>593</v>
      </c>
    </row>
    <row r="388" spans="1:7">
      <c r="A388" s="589"/>
      <c r="B388" s="64"/>
      <c r="C388" s="80"/>
      <c r="D388" s="69" t="s">
        <v>604</v>
      </c>
      <c r="E388" s="612"/>
      <c r="F388" s="70"/>
      <c r="G388" s="70">
        <f>+E388*F388</f>
        <v>0</v>
      </c>
    </row>
    <row r="389" spans="1:7">
      <c r="A389" s="589"/>
      <c r="B389" s="64"/>
      <c r="C389" s="68"/>
      <c r="D389" s="69"/>
      <c r="E389" s="599"/>
      <c r="F389" s="91"/>
      <c r="G389" s="91"/>
    </row>
    <row r="390" spans="1:7">
      <c r="A390" s="589"/>
      <c r="B390" s="64"/>
      <c r="C390" s="73" t="s">
        <v>599</v>
      </c>
      <c r="D390" s="73"/>
      <c r="E390" s="76"/>
      <c r="F390" s="76"/>
      <c r="G390" s="76">
        <f>SUM(G388:G388)</f>
        <v>0</v>
      </c>
    </row>
    <row r="391" spans="1:7">
      <c r="A391" s="589"/>
      <c r="B391" s="64"/>
      <c r="C391" s="73"/>
      <c r="D391" s="73"/>
      <c r="E391" s="76"/>
      <c r="F391" s="76"/>
      <c r="G391" s="76"/>
    </row>
    <row r="392" spans="1:7">
      <c r="A392" s="589"/>
      <c r="B392" s="64"/>
      <c r="C392" s="73" t="s">
        <v>605</v>
      </c>
      <c r="D392" s="73"/>
      <c r="E392" s="76"/>
      <c r="F392" s="76"/>
      <c r="G392" s="76">
        <f>G379+G385+G390</f>
        <v>50.878</v>
      </c>
    </row>
    <row r="393" spans="1:7">
      <c r="A393" s="589"/>
      <c r="B393" s="64"/>
      <c r="C393" s="597" t="s">
        <v>331</v>
      </c>
      <c r="D393" s="597"/>
      <c r="E393" s="600"/>
      <c r="F393" s="600"/>
      <c r="G393" s="600">
        <f>G392</f>
        <v>50.878</v>
      </c>
    </row>
    <row r="394" spans="1:7">
      <c r="A394" s="613"/>
      <c r="B394" s="614"/>
      <c r="C394" s="615"/>
      <c r="D394" s="615"/>
      <c r="E394" s="616"/>
      <c r="F394" s="616"/>
      <c r="G394" s="617"/>
    </row>
    <row r="395" spans="1:7">
      <c r="A395" s="618"/>
      <c r="B395" s="579"/>
      <c r="C395" s="619"/>
      <c r="D395" s="619"/>
      <c r="E395" s="620"/>
      <c r="F395" s="620"/>
      <c r="G395" s="621"/>
    </row>
    <row r="396" spans="1:7" ht="24.75">
      <c r="A396" s="605" t="s">
        <v>684</v>
      </c>
      <c r="B396" s="622" t="s">
        <v>136</v>
      </c>
      <c r="C396" s="623" t="s">
        <v>304</v>
      </c>
      <c r="D396" s="624" t="s">
        <v>194</v>
      </c>
      <c r="E396" s="625"/>
      <c r="F396" s="626">
        <f>G423</f>
        <v>182.75790599999999</v>
      </c>
      <c r="G396" s="627"/>
    </row>
    <row r="397" spans="1:7">
      <c r="A397" s="589"/>
      <c r="B397" s="72"/>
      <c r="C397" s="64" t="s">
        <v>590</v>
      </c>
      <c r="D397" s="64" t="s">
        <v>194</v>
      </c>
      <c r="E397" s="590" t="s">
        <v>591</v>
      </c>
      <c r="F397" s="590" t="s">
        <v>592</v>
      </c>
      <c r="G397" s="590" t="s">
        <v>593</v>
      </c>
    </row>
    <row r="398" spans="1:7" ht="24.75">
      <c r="A398" s="67" t="s">
        <v>685</v>
      </c>
      <c r="B398" s="69" t="s">
        <v>686</v>
      </c>
      <c r="C398" s="86" t="s">
        <v>687</v>
      </c>
      <c r="D398" s="69" t="s">
        <v>291</v>
      </c>
      <c r="E398" s="592">
        <v>0.875</v>
      </c>
      <c r="F398" s="87">
        <v>4.0599999999999996</v>
      </c>
      <c r="G398" s="82">
        <f t="shared" ref="G398:G407" si="1">F398*E398</f>
        <v>3.5524999999999998</v>
      </c>
    </row>
    <row r="399" spans="1:7" ht="24.75">
      <c r="A399" s="67" t="s">
        <v>685</v>
      </c>
      <c r="B399" s="69" t="s">
        <v>688</v>
      </c>
      <c r="C399" s="86" t="s">
        <v>667</v>
      </c>
      <c r="D399" s="69" t="s">
        <v>53</v>
      </c>
      <c r="E399" s="592">
        <v>8.1899999999999994E-3</v>
      </c>
      <c r="F399" s="87">
        <v>60</v>
      </c>
      <c r="G399" s="82">
        <f t="shared" si="1"/>
        <v>0.49139999999999995</v>
      </c>
    </row>
    <row r="400" spans="1:7" ht="24.75">
      <c r="A400" s="67" t="s">
        <v>685</v>
      </c>
      <c r="B400" s="69" t="s">
        <v>689</v>
      </c>
      <c r="C400" s="86" t="s">
        <v>690</v>
      </c>
      <c r="D400" s="69" t="s">
        <v>53</v>
      </c>
      <c r="E400" s="592">
        <v>0.1</v>
      </c>
      <c r="F400" s="87">
        <v>50</v>
      </c>
      <c r="G400" s="82">
        <f t="shared" si="1"/>
        <v>5</v>
      </c>
    </row>
    <row r="401" spans="1:7" ht="24.75">
      <c r="A401" s="67" t="s">
        <v>685</v>
      </c>
      <c r="B401" s="69" t="s">
        <v>691</v>
      </c>
      <c r="C401" s="86" t="s">
        <v>692</v>
      </c>
      <c r="D401" s="69" t="s">
        <v>291</v>
      </c>
      <c r="E401" s="592">
        <v>8.25</v>
      </c>
      <c r="F401" s="87">
        <v>0.67</v>
      </c>
      <c r="G401" s="82">
        <f t="shared" si="1"/>
        <v>5.5275000000000007</v>
      </c>
    </row>
    <row r="402" spans="1:7" ht="24.75">
      <c r="A402" s="67" t="s">
        <v>685</v>
      </c>
      <c r="B402" s="69" t="s">
        <v>693</v>
      </c>
      <c r="C402" s="86" t="s">
        <v>694</v>
      </c>
      <c r="D402" s="69" t="s">
        <v>17</v>
      </c>
      <c r="E402" s="592">
        <v>0.1</v>
      </c>
      <c r="F402" s="87">
        <v>21.12</v>
      </c>
      <c r="G402" s="82">
        <f t="shared" si="1"/>
        <v>2.1120000000000001</v>
      </c>
    </row>
    <row r="403" spans="1:7" ht="24.75">
      <c r="A403" s="67" t="s">
        <v>685</v>
      </c>
      <c r="B403" s="69" t="s">
        <v>695</v>
      </c>
      <c r="C403" s="86" t="s">
        <v>696</v>
      </c>
      <c r="D403" s="69" t="s">
        <v>291</v>
      </c>
      <c r="E403" s="592">
        <v>24.09</v>
      </c>
      <c r="F403" s="87">
        <v>0.44</v>
      </c>
      <c r="G403" s="82">
        <f t="shared" si="1"/>
        <v>10.599600000000001</v>
      </c>
    </row>
    <row r="404" spans="1:7" ht="24.75">
      <c r="A404" s="67" t="s">
        <v>685</v>
      </c>
      <c r="B404" s="69" t="s">
        <v>697</v>
      </c>
      <c r="C404" s="86" t="s">
        <v>698</v>
      </c>
      <c r="D404" s="69" t="s">
        <v>53</v>
      </c>
      <c r="E404" s="592">
        <v>9.4900000000000002E-3</v>
      </c>
      <c r="F404" s="87">
        <v>59.4</v>
      </c>
      <c r="G404" s="82">
        <f t="shared" si="1"/>
        <v>0.56370600000000004</v>
      </c>
    </row>
    <row r="405" spans="1:7" ht="24.75">
      <c r="A405" s="67" t="s">
        <v>685</v>
      </c>
      <c r="B405" s="69" t="s">
        <v>699</v>
      </c>
      <c r="C405" s="86" t="s">
        <v>700</v>
      </c>
      <c r="D405" s="69" t="s">
        <v>53</v>
      </c>
      <c r="E405" s="592">
        <v>8.0000000000000002E-3</v>
      </c>
      <c r="F405" s="87">
        <v>59.4</v>
      </c>
      <c r="G405" s="82">
        <f t="shared" si="1"/>
        <v>0.47520000000000001</v>
      </c>
    </row>
    <row r="406" spans="1:7" ht="24.75">
      <c r="A406" s="67" t="s">
        <v>685</v>
      </c>
      <c r="B406" s="75" t="s">
        <v>701</v>
      </c>
      <c r="C406" s="88" t="s">
        <v>702</v>
      </c>
      <c r="D406" s="69" t="s">
        <v>30</v>
      </c>
      <c r="E406" s="645">
        <v>138</v>
      </c>
      <c r="F406" s="87">
        <v>0.25</v>
      </c>
      <c r="G406" s="82">
        <f t="shared" si="1"/>
        <v>34.5</v>
      </c>
    </row>
    <row r="407" spans="1:7">
      <c r="A407" s="650"/>
      <c r="B407" s="89"/>
      <c r="C407" s="90"/>
      <c r="D407" s="69"/>
      <c r="E407" s="592"/>
      <c r="F407" s="87"/>
      <c r="G407" s="82">
        <f t="shared" si="1"/>
        <v>0</v>
      </c>
    </row>
    <row r="408" spans="1:7">
      <c r="A408" s="589"/>
      <c r="B408" s="72"/>
      <c r="C408" s="646"/>
      <c r="D408" s="69"/>
      <c r="E408" s="647"/>
      <c r="F408" s="479"/>
      <c r="G408" s="648"/>
    </row>
    <row r="409" spans="1:7">
      <c r="A409" s="589"/>
      <c r="B409" s="72"/>
      <c r="C409" s="73" t="s">
        <v>594</v>
      </c>
      <c r="D409" s="73"/>
      <c r="E409" s="70"/>
      <c r="F409" s="649"/>
      <c r="G409" s="649">
        <f>SUM(G398:G407)</f>
        <v>62.821905999999998</v>
      </c>
    </row>
    <row r="410" spans="1:7">
      <c r="A410" s="589"/>
      <c r="B410" s="72"/>
      <c r="C410" s="64" t="s">
        <v>595</v>
      </c>
      <c r="D410" s="64" t="s">
        <v>194</v>
      </c>
      <c r="E410" s="590" t="s">
        <v>591</v>
      </c>
      <c r="F410" s="590" t="s">
        <v>592</v>
      </c>
      <c r="G410" s="590" t="s">
        <v>593</v>
      </c>
    </row>
    <row r="411" spans="1:7" ht="24.75">
      <c r="A411" s="67" t="s">
        <v>188</v>
      </c>
      <c r="B411" s="72" t="s">
        <v>664</v>
      </c>
      <c r="C411" s="73" t="s">
        <v>201</v>
      </c>
      <c r="D411" s="69" t="s">
        <v>190</v>
      </c>
      <c r="E411" s="612">
        <v>3.8</v>
      </c>
      <c r="F411" s="70">
        <v>13.76</v>
      </c>
      <c r="G411" s="82">
        <f>F411*E411</f>
        <v>52.287999999999997</v>
      </c>
    </row>
    <row r="412" spans="1:7" ht="24.75">
      <c r="A412" s="67" t="s">
        <v>188</v>
      </c>
      <c r="B412" s="72" t="s">
        <v>665</v>
      </c>
      <c r="C412" s="73" t="s">
        <v>202</v>
      </c>
      <c r="D412" s="69" t="s">
        <v>190</v>
      </c>
      <c r="E412" s="612">
        <v>6.04</v>
      </c>
      <c r="F412" s="70">
        <v>11.2</v>
      </c>
      <c r="G412" s="82">
        <f>F412*E412</f>
        <v>67.647999999999996</v>
      </c>
    </row>
    <row r="413" spans="1:7">
      <c r="A413" s="589"/>
      <c r="B413" s="72"/>
      <c r="C413" s="73" t="s">
        <v>673</v>
      </c>
      <c r="D413" s="69"/>
      <c r="E413" s="612"/>
      <c r="F413" s="70"/>
      <c r="G413" s="70">
        <f>SUM(G411:G412)</f>
        <v>119.93599999999999</v>
      </c>
    </row>
    <row r="414" spans="1:7">
      <c r="A414" s="589"/>
      <c r="B414" s="72"/>
      <c r="C414" s="73"/>
      <c r="D414" s="69"/>
      <c r="E414" s="612"/>
      <c r="F414" s="70"/>
      <c r="G414" s="70"/>
    </row>
    <row r="415" spans="1:7">
      <c r="A415" s="589"/>
      <c r="B415" s="72"/>
      <c r="C415" s="73" t="s">
        <v>597</v>
      </c>
      <c r="D415" s="73"/>
      <c r="E415" s="70"/>
      <c r="F415" s="70"/>
      <c r="G415" s="70">
        <f>SUM(G413)</f>
        <v>119.93599999999999</v>
      </c>
    </row>
    <row r="416" spans="1:7">
      <c r="A416" s="589"/>
      <c r="B416" s="72"/>
      <c r="C416" s="73"/>
      <c r="D416" s="73"/>
      <c r="E416" s="70"/>
      <c r="F416" s="70"/>
      <c r="G416" s="70"/>
    </row>
    <row r="417" spans="1:7">
      <c r="A417" s="589"/>
      <c r="B417" s="64"/>
      <c r="C417" s="597" t="s">
        <v>598</v>
      </c>
      <c r="D417" s="64" t="s">
        <v>194</v>
      </c>
      <c r="E417" s="598" t="s">
        <v>591</v>
      </c>
      <c r="F417" s="598" t="s">
        <v>592</v>
      </c>
      <c r="G417" s="598" t="s">
        <v>593</v>
      </c>
    </row>
    <row r="418" spans="1:7">
      <c r="A418" s="589"/>
      <c r="B418" s="64"/>
      <c r="C418" s="80"/>
      <c r="D418" s="69" t="s">
        <v>604</v>
      </c>
      <c r="E418" s="612"/>
      <c r="F418" s="70"/>
      <c r="G418" s="70">
        <f>+E418*F418</f>
        <v>0</v>
      </c>
    </row>
    <row r="419" spans="1:7">
      <c r="A419" s="589"/>
      <c r="B419" s="64"/>
      <c r="C419" s="68"/>
      <c r="D419" s="69"/>
      <c r="E419" s="599"/>
      <c r="F419" s="91"/>
      <c r="G419" s="91"/>
    </row>
    <row r="420" spans="1:7">
      <c r="A420" s="589"/>
      <c r="B420" s="64"/>
      <c r="C420" s="73" t="s">
        <v>599</v>
      </c>
      <c r="D420" s="73"/>
      <c r="E420" s="76"/>
      <c r="F420" s="76"/>
      <c r="G420" s="76">
        <f>SUM(G418:G418)</f>
        <v>0</v>
      </c>
    </row>
    <row r="421" spans="1:7">
      <c r="A421" s="589"/>
      <c r="B421" s="64"/>
      <c r="C421" s="73"/>
      <c r="D421" s="73"/>
      <c r="E421" s="76"/>
      <c r="F421" s="76"/>
      <c r="G421" s="76"/>
    </row>
    <row r="422" spans="1:7">
      <c r="A422" s="589"/>
      <c r="B422" s="64"/>
      <c r="C422" s="73" t="s">
        <v>605</v>
      </c>
      <c r="D422" s="73"/>
      <c r="E422" s="76"/>
      <c r="F422" s="76"/>
      <c r="G422" s="76">
        <f>G409+G415+G420</f>
        <v>182.75790599999999</v>
      </c>
    </row>
    <row r="423" spans="1:7">
      <c r="A423" s="589"/>
      <c r="B423" s="64"/>
      <c r="C423" s="597" t="s">
        <v>331</v>
      </c>
      <c r="D423" s="597"/>
      <c r="E423" s="600"/>
      <c r="F423" s="600"/>
      <c r="G423" s="600">
        <f>G422</f>
        <v>182.75790599999999</v>
      </c>
    </row>
    <row r="424" spans="1:7">
      <c r="A424" s="613"/>
      <c r="B424" s="614"/>
      <c r="C424" s="615"/>
      <c r="D424" s="615"/>
      <c r="E424" s="616"/>
      <c r="F424" s="616"/>
      <c r="G424" s="617"/>
    </row>
    <row r="425" spans="1:7">
      <c r="A425" s="618"/>
      <c r="B425" s="579"/>
      <c r="C425" s="619"/>
      <c r="D425" s="619"/>
      <c r="E425" s="620"/>
      <c r="F425" s="620"/>
      <c r="G425" s="621"/>
    </row>
    <row r="426" spans="1:7" ht="24.75">
      <c r="A426" s="605" t="s">
        <v>703</v>
      </c>
      <c r="B426" s="622" t="s">
        <v>150</v>
      </c>
      <c r="C426" s="623" t="s">
        <v>314</v>
      </c>
      <c r="D426" s="624" t="s">
        <v>30</v>
      </c>
      <c r="E426" s="625"/>
      <c r="F426" s="626">
        <f>G447</f>
        <v>95.274479999999997</v>
      </c>
      <c r="G426" s="627"/>
    </row>
    <row r="427" spans="1:7">
      <c r="A427" s="639"/>
      <c r="B427" s="64"/>
      <c r="C427" s="64" t="s">
        <v>590</v>
      </c>
      <c r="D427" s="64" t="s">
        <v>194</v>
      </c>
      <c r="E427" s="640" t="s">
        <v>591</v>
      </c>
      <c r="F427" s="640" t="s">
        <v>592</v>
      </c>
      <c r="G427" s="640" t="s">
        <v>593</v>
      </c>
    </row>
    <row r="428" spans="1:7">
      <c r="A428" s="639"/>
      <c r="B428" s="64"/>
      <c r="C428" s="64"/>
      <c r="D428" s="64"/>
      <c r="E428" s="640"/>
      <c r="F428" s="640"/>
      <c r="G428" s="640"/>
    </row>
    <row r="429" spans="1:7" ht="24.75">
      <c r="A429" s="67" t="s">
        <v>184</v>
      </c>
      <c r="B429" s="72">
        <v>1791</v>
      </c>
      <c r="C429" s="83" t="s">
        <v>704</v>
      </c>
      <c r="D429" s="69" t="s">
        <v>194</v>
      </c>
      <c r="E429" s="592">
        <v>1</v>
      </c>
      <c r="F429" s="84">
        <v>82.47</v>
      </c>
      <c r="G429" s="76">
        <f>+E429*F429</f>
        <v>82.47</v>
      </c>
    </row>
    <row r="430" spans="1:7">
      <c r="A430" s="644"/>
      <c r="B430" s="69"/>
      <c r="C430" s="68"/>
      <c r="D430" s="69"/>
      <c r="E430" s="641"/>
      <c r="F430" s="92"/>
      <c r="G430" s="84"/>
    </row>
    <row r="431" spans="1:7">
      <c r="A431" s="639"/>
      <c r="B431" s="93"/>
      <c r="C431" s="68"/>
      <c r="D431" s="69"/>
      <c r="E431" s="641"/>
      <c r="F431" s="84"/>
      <c r="G431" s="84"/>
    </row>
    <row r="432" spans="1:7">
      <c r="A432" s="639"/>
      <c r="B432" s="64"/>
      <c r="C432" s="73" t="s">
        <v>594</v>
      </c>
      <c r="D432" s="73"/>
      <c r="E432" s="642"/>
      <c r="F432" s="643"/>
      <c r="G432" s="643">
        <f>SUM(G429:G429)</f>
        <v>82.47</v>
      </c>
    </row>
    <row r="433" spans="1:7">
      <c r="A433" s="639"/>
      <c r="B433" s="64"/>
      <c r="C433" s="73"/>
      <c r="D433" s="73"/>
      <c r="E433" s="642"/>
      <c r="F433" s="643"/>
      <c r="G433" s="643"/>
    </row>
    <row r="434" spans="1:7">
      <c r="A434" s="639"/>
      <c r="B434" s="64"/>
      <c r="C434" s="64" t="s">
        <v>595</v>
      </c>
      <c r="D434" s="64" t="s">
        <v>194</v>
      </c>
      <c r="E434" s="640" t="s">
        <v>591</v>
      </c>
      <c r="F434" s="640" t="s">
        <v>592</v>
      </c>
      <c r="G434" s="640" t="s">
        <v>593</v>
      </c>
    </row>
    <row r="435" spans="1:7" ht="24.75">
      <c r="A435" s="67" t="s">
        <v>188</v>
      </c>
      <c r="B435" s="651">
        <v>88264</v>
      </c>
      <c r="C435" s="68" t="s">
        <v>214</v>
      </c>
      <c r="D435" s="69" t="s">
        <v>604</v>
      </c>
      <c r="E435" s="592">
        <v>0.51300000000000001</v>
      </c>
      <c r="F435" s="70">
        <v>13.76</v>
      </c>
      <c r="G435" s="76">
        <f>+E435*F435</f>
        <v>7.0588800000000003</v>
      </c>
    </row>
    <row r="436" spans="1:7" ht="24.75">
      <c r="A436" s="67" t="s">
        <v>188</v>
      </c>
      <c r="B436" s="651">
        <v>88247</v>
      </c>
      <c r="C436" s="68" t="s">
        <v>215</v>
      </c>
      <c r="D436" s="69" t="s">
        <v>604</v>
      </c>
      <c r="E436" s="592">
        <v>0.51300000000000001</v>
      </c>
      <c r="F436" s="70">
        <v>11.2</v>
      </c>
      <c r="G436" s="76">
        <f>+E436*F436</f>
        <v>5.7455999999999996</v>
      </c>
    </row>
    <row r="437" spans="1:7">
      <c r="A437" s="644"/>
      <c r="B437" s="72"/>
      <c r="C437" s="73"/>
      <c r="D437" s="69"/>
      <c r="E437" s="610"/>
      <c r="F437" s="76"/>
      <c r="G437" s="76"/>
    </row>
    <row r="438" spans="1:7">
      <c r="A438" s="639"/>
      <c r="B438" s="64"/>
      <c r="C438" s="73" t="s">
        <v>673</v>
      </c>
      <c r="D438" s="69"/>
      <c r="E438" s="612"/>
      <c r="F438" s="70"/>
      <c r="G438" s="70">
        <f>SUM(G435:G436)</f>
        <v>12.80448</v>
      </c>
    </row>
    <row r="439" spans="1:7">
      <c r="A439" s="639"/>
      <c r="B439" s="64"/>
      <c r="C439" s="73"/>
      <c r="D439" s="69"/>
      <c r="E439" s="612"/>
      <c r="F439" s="70"/>
      <c r="G439" s="70"/>
    </row>
    <row r="440" spans="1:7">
      <c r="A440" s="639"/>
      <c r="B440" s="64"/>
      <c r="C440" s="73" t="s">
        <v>597</v>
      </c>
      <c r="D440" s="73"/>
      <c r="E440" s="70"/>
      <c r="F440" s="70"/>
      <c r="G440" s="70">
        <f>SUM(G438:G438)</f>
        <v>12.80448</v>
      </c>
    </row>
    <row r="441" spans="1:7">
      <c r="A441" s="639"/>
      <c r="B441" s="64"/>
      <c r="C441" s="73"/>
      <c r="D441" s="73"/>
      <c r="E441" s="642"/>
      <c r="F441" s="642"/>
      <c r="G441" s="642"/>
    </row>
    <row r="442" spans="1:7">
      <c r="A442" s="639"/>
      <c r="B442" s="64"/>
      <c r="C442" s="597" t="s">
        <v>598</v>
      </c>
      <c r="D442" s="64" t="s">
        <v>194</v>
      </c>
      <c r="E442" s="640" t="s">
        <v>591</v>
      </c>
      <c r="F442" s="640" t="s">
        <v>592</v>
      </c>
      <c r="G442" s="640" t="s">
        <v>593</v>
      </c>
    </row>
    <row r="443" spans="1:7">
      <c r="A443" s="639"/>
      <c r="B443" s="64"/>
      <c r="C443" s="68"/>
      <c r="D443" s="69"/>
      <c r="E443" s="599"/>
      <c r="F443" s="91"/>
      <c r="G443" s="91"/>
    </row>
    <row r="444" spans="1:7">
      <c r="A444" s="639"/>
      <c r="B444" s="64"/>
      <c r="C444" s="73" t="s">
        <v>599</v>
      </c>
      <c r="D444" s="73"/>
      <c r="E444" s="642"/>
      <c r="F444" s="642"/>
      <c r="G444" s="642">
        <f>SUM(G443:G443)</f>
        <v>0</v>
      </c>
    </row>
    <row r="445" spans="1:7">
      <c r="A445" s="639"/>
      <c r="B445" s="64"/>
      <c r="C445" s="73"/>
      <c r="D445" s="73"/>
      <c r="E445" s="642"/>
      <c r="F445" s="642"/>
      <c r="G445" s="642"/>
    </row>
    <row r="446" spans="1:7">
      <c r="A446" s="639"/>
      <c r="B446" s="64"/>
      <c r="C446" s="73" t="s">
        <v>605</v>
      </c>
      <c r="D446" s="73"/>
      <c r="E446" s="642"/>
      <c r="F446" s="642"/>
      <c r="G446" s="642">
        <f>G432+G440+G444</f>
        <v>95.274479999999997</v>
      </c>
    </row>
    <row r="447" spans="1:7">
      <c r="A447" s="639"/>
      <c r="B447" s="64"/>
      <c r="C447" s="597" t="s">
        <v>331</v>
      </c>
      <c r="D447" s="73"/>
      <c r="E447" s="76"/>
      <c r="F447" s="76"/>
      <c r="G447" s="600">
        <f>G446</f>
        <v>95.274479999999997</v>
      </c>
    </row>
    <row r="448" spans="1:7">
      <c r="A448" s="613"/>
      <c r="B448" s="614"/>
      <c r="C448" s="615"/>
      <c r="D448" s="615"/>
      <c r="E448" s="616"/>
      <c r="F448" s="616"/>
      <c r="G448" s="617"/>
    </row>
    <row r="449" spans="1:7">
      <c r="A449" s="618"/>
      <c r="B449" s="579"/>
      <c r="C449" s="619"/>
      <c r="D449" s="619"/>
      <c r="E449" s="620"/>
      <c r="F449" s="620"/>
      <c r="G449" s="621"/>
    </row>
    <row r="450" spans="1:7" ht="24.75">
      <c r="A450" s="605" t="s">
        <v>705</v>
      </c>
      <c r="B450" s="622" t="s">
        <v>162</v>
      </c>
      <c r="C450" s="623" t="s">
        <v>320</v>
      </c>
      <c r="D450" s="624" t="s">
        <v>30</v>
      </c>
      <c r="E450" s="625"/>
      <c r="F450" s="626">
        <f>G475</f>
        <v>544.46872499999995</v>
      </c>
      <c r="G450" s="627"/>
    </row>
    <row r="451" spans="1:7">
      <c r="A451" s="639"/>
      <c r="B451" s="64"/>
      <c r="C451" s="64" t="s">
        <v>590</v>
      </c>
      <c r="D451" s="64" t="s">
        <v>194</v>
      </c>
      <c r="E451" s="640" t="s">
        <v>591</v>
      </c>
      <c r="F451" s="640" t="s">
        <v>592</v>
      </c>
      <c r="G451" s="640" t="s">
        <v>593</v>
      </c>
    </row>
    <row r="452" spans="1:7">
      <c r="A452" s="639"/>
      <c r="B452" s="64"/>
      <c r="C452" s="64"/>
      <c r="D452" s="64"/>
      <c r="E452" s="640"/>
      <c r="F452" s="640"/>
      <c r="G452" s="640"/>
    </row>
    <row r="453" spans="1:7" ht="24.75">
      <c r="A453" s="67" t="s">
        <v>184</v>
      </c>
      <c r="B453" s="72">
        <v>5037</v>
      </c>
      <c r="C453" s="83" t="s">
        <v>706</v>
      </c>
      <c r="D453" s="69" t="s">
        <v>222</v>
      </c>
      <c r="E453" s="592">
        <v>1</v>
      </c>
      <c r="F453" s="84">
        <v>247.58</v>
      </c>
      <c r="G453" s="76">
        <f>+E453*F453</f>
        <v>247.58</v>
      </c>
    </row>
    <row r="454" spans="1:7" ht="24.75">
      <c r="A454" s="67" t="s">
        <v>188</v>
      </c>
      <c r="B454" s="72">
        <v>6045</v>
      </c>
      <c r="C454" s="83" t="s">
        <v>224</v>
      </c>
      <c r="D454" s="69" t="s">
        <v>53</v>
      </c>
      <c r="E454" s="592">
        <v>0.2</v>
      </c>
      <c r="F454" s="84">
        <v>301.43</v>
      </c>
      <c r="G454" s="76">
        <f>+E454*F454</f>
        <v>60.286000000000001</v>
      </c>
    </row>
    <row r="455" spans="1:7" ht="24.75">
      <c r="A455" s="67" t="s">
        <v>188</v>
      </c>
      <c r="B455" s="72">
        <v>92874</v>
      </c>
      <c r="C455" s="83" t="s">
        <v>89</v>
      </c>
      <c r="D455" s="69" t="s">
        <v>53</v>
      </c>
      <c r="E455" s="592">
        <v>0.2</v>
      </c>
      <c r="F455" s="84">
        <v>19.190000000000001</v>
      </c>
      <c r="G455" s="76">
        <f>+E455*F455</f>
        <v>3.8380000000000005</v>
      </c>
    </row>
    <row r="456" spans="1:7" ht="24.75">
      <c r="A456" s="67" t="s">
        <v>184</v>
      </c>
      <c r="B456" s="72">
        <v>406</v>
      </c>
      <c r="C456" s="83" t="s">
        <v>225</v>
      </c>
      <c r="D456" s="69" t="s">
        <v>222</v>
      </c>
      <c r="E456" s="592">
        <v>0.1333</v>
      </c>
      <c r="F456" s="84">
        <v>58.25</v>
      </c>
      <c r="G456" s="76">
        <f>+E456*F456</f>
        <v>7.7647250000000003</v>
      </c>
    </row>
    <row r="457" spans="1:7">
      <c r="A457" s="644"/>
      <c r="B457" s="69"/>
      <c r="C457" s="68"/>
      <c r="D457" s="69"/>
      <c r="E457" s="641"/>
      <c r="F457" s="92"/>
      <c r="G457" s="76">
        <f>+E457*F457</f>
        <v>0</v>
      </c>
    </row>
    <row r="458" spans="1:7">
      <c r="A458" s="639"/>
      <c r="B458" s="93"/>
      <c r="C458" s="68"/>
      <c r="D458" s="69"/>
      <c r="E458" s="641"/>
      <c r="F458" s="84"/>
      <c r="G458" s="84"/>
    </row>
    <row r="459" spans="1:7">
      <c r="A459" s="639"/>
      <c r="B459" s="64"/>
      <c r="C459" s="73" t="s">
        <v>594</v>
      </c>
      <c r="D459" s="73"/>
      <c r="E459" s="642"/>
      <c r="F459" s="643"/>
      <c r="G459" s="643">
        <f>SUM(G453:G458)</f>
        <v>319.46872500000001</v>
      </c>
    </row>
    <row r="460" spans="1:7">
      <c r="A460" s="639"/>
      <c r="B460" s="64"/>
      <c r="C460" s="73"/>
      <c r="D460" s="73"/>
      <c r="E460" s="642"/>
      <c r="F460" s="643"/>
      <c r="G460" s="643"/>
    </row>
    <row r="461" spans="1:7">
      <c r="A461" s="639"/>
      <c r="B461" s="64"/>
      <c r="C461" s="64" t="s">
        <v>595</v>
      </c>
      <c r="D461" s="64" t="s">
        <v>194</v>
      </c>
      <c r="E461" s="640" t="s">
        <v>591</v>
      </c>
      <c r="F461" s="640" t="s">
        <v>592</v>
      </c>
      <c r="G461" s="640" t="s">
        <v>593</v>
      </c>
    </row>
    <row r="462" spans="1:7" ht="24.75">
      <c r="A462" s="67" t="s">
        <v>188</v>
      </c>
      <c r="B462" s="72">
        <v>88316</v>
      </c>
      <c r="C462" s="80" t="s">
        <v>202</v>
      </c>
      <c r="D462" s="69" t="s">
        <v>190</v>
      </c>
      <c r="E462" s="592">
        <v>6</v>
      </c>
      <c r="F462" s="79">
        <v>11.2</v>
      </c>
      <c r="G462" s="70">
        <f>+E462*F462</f>
        <v>67.199999999999989</v>
      </c>
    </row>
    <row r="463" spans="1:7">
      <c r="A463" s="644"/>
      <c r="B463" s="651"/>
      <c r="C463" s="68"/>
      <c r="D463" s="69"/>
      <c r="E463" s="592"/>
      <c r="F463" s="70"/>
      <c r="G463" s="76">
        <f>+E463*F463</f>
        <v>0</v>
      </c>
    </row>
    <row r="464" spans="1:7">
      <c r="A464" s="644"/>
      <c r="B464" s="72"/>
      <c r="C464" s="73"/>
      <c r="D464" s="69"/>
      <c r="E464" s="610"/>
      <c r="F464" s="76"/>
      <c r="G464" s="76"/>
    </row>
    <row r="465" spans="1:7">
      <c r="A465" s="639"/>
      <c r="B465" s="64"/>
      <c r="C465" s="73" t="s">
        <v>673</v>
      </c>
      <c r="D465" s="69"/>
      <c r="E465" s="612"/>
      <c r="F465" s="70"/>
      <c r="G465" s="70">
        <f>SUM(G462:G463)</f>
        <v>67.199999999999989</v>
      </c>
    </row>
    <row r="466" spans="1:7">
      <c r="A466" s="639"/>
      <c r="B466" s="64"/>
      <c r="C466" s="73"/>
      <c r="D466" s="69"/>
      <c r="E466" s="612"/>
      <c r="F466" s="70"/>
      <c r="G466" s="70"/>
    </row>
    <row r="467" spans="1:7">
      <c r="A467" s="639"/>
      <c r="B467" s="64"/>
      <c r="C467" s="73" t="s">
        <v>597</v>
      </c>
      <c r="D467" s="73"/>
      <c r="E467" s="70"/>
      <c r="F467" s="70"/>
      <c r="G467" s="70">
        <f>SUM(G465:G465)</f>
        <v>67.199999999999989</v>
      </c>
    </row>
    <row r="468" spans="1:7">
      <c r="A468" s="639"/>
      <c r="B468" s="64"/>
      <c r="C468" s="73"/>
      <c r="D468" s="73"/>
      <c r="E468" s="642"/>
      <c r="F468" s="642"/>
      <c r="G468" s="642"/>
    </row>
    <row r="469" spans="1:7">
      <c r="A469" s="639"/>
      <c r="B469" s="64"/>
      <c r="C469" s="597" t="s">
        <v>598</v>
      </c>
      <c r="D469" s="64" t="s">
        <v>194</v>
      </c>
      <c r="E469" s="640" t="s">
        <v>591</v>
      </c>
      <c r="F469" s="640" t="s">
        <v>592</v>
      </c>
      <c r="G469" s="640" t="s">
        <v>593</v>
      </c>
    </row>
    <row r="470" spans="1:7" ht="33.75">
      <c r="A470" s="67" t="s">
        <v>188</v>
      </c>
      <c r="B470" s="69" t="s">
        <v>707</v>
      </c>
      <c r="C470" s="68" t="s">
        <v>708</v>
      </c>
      <c r="D470" s="69" t="s">
        <v>624</v>
      </c>
      <c r="E470" s="592">
        <v>1.5</v>
      </c>
      <c r="F470" s="91">
        <v>105.2</v>
      </c>
      <c r="G470" s="70">
        <f>+E470*F470</f>
        <v>157.80000000000001</v>
      </c>
    </row>
    <row r="471" spans="1:7">
      <c r="A471" s="639"/>
      <c r="B471" s="69"/>
      <c r="C471" s="68"/>
      <c r="D471" s="69"/>
      <c r="E471" s="599"/>
      <c r="F471" s="91"/>
      <c r="G471" s="91"/>
    </row>
    <row r="472" spans="1:7">
      <c r="A472" s="639"/>
      <c r="B472" s="64"/>
      <c r="C472" s="73" t="s">
        <v>599</v>
      </c>
      <c r="D472" s="73"/>
      <c r="E472" s="642"/>
      <c r="F472" s="642"/>
      <c r="G472" s="642">
        <f>SUM(G470:G471)</f>
        <v>157.80000000000001</v>
      </c>
    </row>
    <row r="473" spans="1:7">
      <c r="A473" s="639"/>
      <c r="B473" s="64"/>
      <c r="C473" s="73"/>
      <c r="D473" s="73"/>
      <c r="E473" s="642"/>
      <c r="F473" s="642"/>
      <c r="G473" s="642"/>
    </row>
    <row r="474" spans="1:7">
      <c r="A474" s="639"/>
      <c r="B474" s="64"/>
      <c r="C474" s="73" t="s">
        <v>605</v>
      </c>
      <c r="D474" s="73"/>
      <c r="E474" s="642"/>
      <c r="F474" s="642"/>
      <c r="G474" s="642">
        <f>G459+G467+G472</f>
        <v>544.46872499999995</v>
      </c>
    </row>
    <row r="475" spans="1:7">
      <c r="A475" s="639"/>
      <c r="B475" s="64"/>
      <c r="C475" s="597" t="s">
        <v>331</v>
      </c>
      <c r="D475" s="73"/>
      <c r="E475" s="76"/>
      <c r="F475" s="76"/>
      <c r="G475" s="600">
        <f>G474</f>
        <v>544.46872499999995</v>
      </c>
    </row>
    <row r="476" spans="1:7">
      <c r="A476" s="613"/>
      <c r="B476" s="614"/>
      <c r="C476" s="615"/>
      <c r="D476" s="615"/>
      <c r="E476" s="616"/>
      <c r="F476" s="616"/>
      <c r="G476" s="617"/>
    </row>
    <row r="477" spans="1:7">
      <c r="A477" s="618"/>
      <c r="B477" s="579"/>
      <c r="C477" s="619"/>
      <c r="D477" s="619"/>
      <c r="E477" s="620"/>
      <c r="F477" s="620"/>
      <c r="G477" s="621"/>
    </row>
    <row r="478" spans="1:7" ht="39.75" customHeight="1">
      <c r="A478" s="605" t="s">
        <v>709</v>
      </c>
      <c r="B478" s="622" t="s">
        <v>164</v>
      </c>
      <c r="C478" s="623" t="s">
        <v>322</v>
      </c>
      <c r="D478" s="624" t="s">
        <v>30</v>
      </c>
      <c r="E478" s="625"/>
      <c r="F478" s="626">
        <f>G504</f>
        <v>3896.9500000000007</v>
      </c>
      <c r="G478" s="627"/>
    </row>
    <row r="479" spans="1:7">
      <c r="A479" s="639"/>
      <c r="B479" s="64"/>
      <c r="C479" s="64" t="s">
        <v>590</v>
      </c>
      <c r="D479" s="64" t="s">
        <v>194</v>
      </c>
      <c r="E479" s="640" t="s">
        <v>591</v>
      </c>
      <c r="F479" s="640" t="s">
        <v>592</v>
      </c>
      <c r="G479" s="640" t="s">
        <v>593</v>
      </c>
    </row>
    <row r="480" spans="1:7">
      <c r="A480" s="639"/>
      <c r="B480" s="64"/>
      <c r="C480" s="64"/>
      <c r="D480" s="64"/>
      <c r="E480" s="640"/>
      <c r="F480" s="640"/>
      <c r="G480" s="640"/>
    </row>
    <row r="481" spans="1:7" ht="24.75">
      <c r="A481" s="67" t="s">
        <v>188</v>
      </c>
      <c r="B481" s="72">
        <v>72316</v>
      </c>
      <c r="C481" s="83" t="s">
        <v>710</v>
      </c>
      <c r="D481" s="69" t="s">
        <v>112</v>
      </c>
      <c r="E481" s="592">
        <v>11</v>
      </c>
      <c r="F481" s="84">
        <v>80.819999999999993</v>
      </c>
      <c r="G481" s="76">
        <f>+E481*F481</f>
        <v>889.02</v>
      </c>
    </row>
    <row r="482" spans="1:7" ht="24.75">
      <c r="A482" s="67" t="s">
        <v>188</v>
      </c>
      <c r="B482" s="72">
        <v>83401</v>
      </c>
      <c r="C482" s="83" t="s">
        <v>231</v>
      </c>
      <c r="D482" s="69" t="s">
        <v>222</v>
      </c>
      <c r="E482" s="592">
        <v>4</v>
      </c>
      <c r="F482" s="84">
        <v>179</v>
      </c>
      <c r="G482" s="76">
        <f>+E482*F482</f>
        <v>716</v>
      </c>
    </row>
    <row r="483" spans="1:7" ht="24.75">
      <c r="A483" s="67" t="s">
        <v>188</v>
      </c>
      <c r="B483" s="72" t="s">
        <v>232</v>
      </c>
      <c r="C483" s="83" t="s">
        <v>233</v>
      </c>
      <c r="D483" s="69" t="s">
        <v>222</v>
      </c>
      <c r="E483" s="592">
        <v>1</v>
      </c>
      <c r="F483" s="84">
        <v>407.65</v>
      </c>
      <c r="G483" s="76">
        <f>+E483*F483</f>
        <v>407.65</v>
      </c>
    </row>
    <row r="484" spans="1:7" ht="33.75">
      <c r="A484" s="67" t="s">
        <v>188</v>
      </c>
      <c r="B484" s="69">
        <v>83475</v>
      </c>
      <c r="C484" s="68" t="s">
        <v>234</v>
      </c>
      <c r="D484" s="69" t="s">
        <v>222</v>
      </c>
      <c r="E484" s="641">
        <v>4</v>
      </c>
      <c r="F484" s="92">
        <v>407.17</v>
      </c>
      <c r="G484" s="76">
        <f>+E484*F484</f>
        <v>1628.68</v>
      </c>
    </row>
    <row r="485" spans="1:7" ht="24.75">
      <c r="A485" s="67" t="s">
        <v>188</v>
      </c>
      <c r="B485" s="93">
        <v>83402</v>
      </c>
      <c r="C485" s="68" t="s">
        <v>235</v>
      </c>
      <c r="D485" s="69" t="s">
        <v>222</v>
      </c>
      <c r="E485" s="641">
        <v>4</v>
      </c>
      <c r="F485" s="92">
        <v>39.82</v>
      </c>
      <c r="G485" s="76">
        <f>+E485*F485</f>
        <v>159.28</v>
      </c>
    </row>
    <row r="486" spans="1:7">
      <c r="A486" s="639"/>
      <c r="B486" s="93"/>
      <c r="C486" s="68"/>
      <c r="D486" s="69"/>
      <c r="E486" s="641"/>
      <c r="F486" s="84"/>
      <c r="G486" s="84"/>
    </row>
    <row r="487" spans="1:7">
      <c r="A487" s="639"/>
      <c r="B487" s="64"/>
      <c r="C487" s="73" t="s">
        <v>594</v>
      </c>
      <c r="D487" s="73"/>
      <c r="E487" s="642"/>
      <c r="F487" s="643"/>
      <c r="G487" s="643">
        <f>SUM(G481:G485)</f>
        <v>3800.6300000000006</v>
      </c>
    </row>
    <row r="488" spans="1:7">
      <c r="A488" s="639"/>
      <c r="B488" s="64"/>
      <c r="C488" s="73"/>
      <c r="D488" s="73"/>
      <c r="E488" s="642"/>
      <c r="F488" s="643"/>
      <c r="G488" s="643"/>
    </row>
    <row r="489" spans="1:7">
      <c r="A489" s="639"/>
      <c r="B489" s="64"/>
      <c r="C489" s="64" t="s">
        <v>595</v>
      </c>
      <c r="D489" s="64" t="s">
        <v>194</v>
      </c>
      <c r="E489" s="640" t="s">
        <v>591</v>
      </c>
      <c r="F489" s="640" t="s">
        <v>592</v>
      </c>
      <c r="G489" s="640" t="s">
        <v>593</v>
      </c>
    </row>
    <row r="490" spans="1:7" ht="24.75">
      <c r="A490" s="67" t="s">
        <v>188</v>
      </c>
      <c r="B490" s="651">
        <v>88264</v>
      </c>
      <c r="C490" s="68" t="s">
        <v>214</v>
      </c>
      <c r="D490" s="69" t="s">
        <v>604</v>
      </c>
      <c r="E490" s="592">
        <v>7</v>
      </c>
      <c r="F490" s="70">
        <v>13.76</v>
      </c>
      <c r="G490" s="70">
        <f>+E490*F490</f>
        <v>96.32</v>
      </c>
    </row>
    <row r="491" spans="1:7">
      <c r="A491" s="644"/>
      <c r="B491" s="651"/>
      <c r="C491" s="68"/>
      <c r="D491" s="69"/>
      <c r="E491" s="592"/>
      <c r="F491" s="70"/>
      <c r="G491" s="76">
        <f>+E491*F491</f>
        <v>0</v>
      </c>
    </row>
    <row r="492" spans="1:7">
      <c r="A492" s="644"/>
      <c r="B492" s="72"/>
      <c r="C492" s="73"/>
      <c r="D492" s="69"/>
      <c r="E492" s="610"/>
      <c r="F492" s="76"/>
      <c r="G492" s="76"/>
    </row>
    <row r="493" spans="1:7">
      <c r="A493" s="639"/>
      <c r="B493" s="64"/>
      <c r="C493" s="73" t="s">
        <v>673</v>
      </c>
      <c r="D493" s="69"/>
      <c r="E493" s="612"/>
      <c r="F493" s="70"/>
      <c r="G493" s="70">
        <f>SUM(G490:G491)</f>
        <v>96.32</v>
      </c>
    </row>
    <row r="494" spans="1:7">
      <c r="A494" s="639"/>
      <c r="B494" s="64"/>
      <c r="C494" s="73"/>
      <c r="D494" s="69"/>
      <c r="E494" s="612"/>
      <c r="F494" s="70"/>
      <c r="G494" s="70"/>
    </row>
    <row r="495" spans="1:7">
      <c r="A495" s="639"/>
      <c r="B495" s="64"/>
      <c r="C495" s="73" t="s">
        <v>597</v>
      </c>
      <c r="D495" s="73"/>
      <c r="E495" s="70"/>
      <c r="F495" s="70"/>
      <c r="G495" s="70">
        <f>SUM(G493:G493)</f>
        <v>96.32</v>
      </c>
    </row>
    <row r="496" spans="1:7">
      <c r="A496" s="639"/>
      <c r="B496" s="64"/>
      <c r="C496" s="73"/>
      <c r="D496" s="73"/>
      <c r="E496" s="642"/>
      <c r="F496" s="642"/>
      <c r="G496" s="642"/>
    </row>
    <row r="497" spans="1:17">
      <c r="A497" s="639"/>
      <c r="B497" s="64"/>
      <c r="C497" s="597" t="s">
        <v>598</v>
      </c>
      <c r="D497" s="64" t="s">
        <v>194</v>
      </c>
      <c r="E497" s="640" t="s">
        <v>591</v>
      </c>
      <c r="F497" s="640" t="s">
        <v>592</v>
      </c>
      <c r="G497" s="640" t="s">
        <v>593</v>
      </c>
    </row>
    <row r="498" spans="1:17">
      <c r="A498" s="639"/>
      <c r="B498" s="69"/>
      <c r="C498" s="68"/>
      <c r="D498" s="69"/>
      <c r="E498" s="592"/>
      <c r="F498" s="91"/>
      <c r="G498" s="70">
        <f>+E498*F498</f>
        <v>0</v>
      </c>
    </row>
    <row r="499" spans="1:17">
      <c r="A499" s="639"/>
      <c r="B499" s="69"/>
      <c r="C499" s="68"/>
      <c r="D499" s="69"/>
      <c r="E499" s="592"/>
      <c r="F499" s="91"/>
      <c r="G499" s="70">
        <f>+E499*F499</f>
        <v>0</v>
      </c>
    </row>
    <row r="500" spans="1:17">
      <c r="A500" s="639"/>
      <c r="B500" s="69"/>
      <c r="C500" s="68"/>
      <c r="D500" s="69"/>
      <c r="E500" s="599"/>
      <c r="F500" s="91"/>
      <c r="G500" s="91"/>
    </row>
    <row r="501" spans="1:17">
      <c r="A501" s="639"/>
      <c r="B501" s="64"/>
      <c r="C501" s="73" t="s">
        <v>599</v>
      </c>
      <c r="D501" s="73"/>
      <c r="E501" s="642"/>
      <c r="F501" s="642"/>
      <c r="G501" s="642">
        <f>SUM(G498:G500)</f>
        <v>0</v>
      </c>
    </row>
    <row r="502" spans="1:17">
      <c r="A502" s="639"/>
      <c r="B502" s="64"/>
      <c r="C502" s="73"/>
      <c r="D502" s="73"/>
      <c r="E502" s="642"/>
      <c r="F502" s="642"/>
      <c r="G502" s="642"/>
    </row>
    <row r="503" spans="1:17">
      <c r="A503" s="639"/>
      <c r="B503" s="64"/>
      <c r="C503" s="73" t="s">
        <v>605</v>
      </c>
      <c r="D503" s="73"/>
      <c r="E503" s="642"/>
      <c r="F503" s="642"/>
      <c r="G503" s="642">
        <f>G487+G495+G501</f>
        <v>3896.9500000000007</v>
      </c>
    </row>
    <row r="504" spans="1:17">
      <c r="A504" s="639"/>
      <c r="B504" s="64"/>
      <c r="C504" s="597" t="s">
        <v>331</v>
      </c>
      <c r="D504" s="73"/>
      <c r="E504" s="76"/>
      <c r="F504" s="76"/>
      <c r="G504" s="600">
        <f>G503</f>
        <v>3896.9500000000007</v>
      </c>
    </row>
    <row r="505" spans="1:17">
      <c r="A505" s="613"/>
      <c r="B505" s="614"/>
      <c r="C505" s="615"/>
      <c r="D505" s="615"/>
      <c r="E505" s="616"/>
      <c r="F505" s="616"/>
      <c r="G505" s="617"/>
    </row>
    <row r="506" spans="1:17">
      <c r="A506" s="618"/>
      <c r="B506" s="579"/>
      <c r="C506" s="619"/>
      <c r="D506" s="619"/>
      <c r="E506" s="620"/>
      <c r="F506" s="620"/>
      <c r="G506" s="621"/>
    </row>
    <row r="507" spans="1:17" ht="24.75">
      <c r="A507" s="605" t="s">
        <v>711</v>
      </c>
      <c r="B507" s="622" t="s">
        <v>166</v>
      </c>
      <c r="C507" s="623" t="s">
        <v>324</v>
      </c>
      <c r="D507" s="624" t="s">
        <v>30</v>
      </c>
      <c r="E507" s="625"/>
      <c r="F507" s="626">
        <f>G523</f>
        <v>4684.5833333333339</v>
      </c>
      <c r="G507" s="627"/>
      <c r="N507" s="74"/>
      <c r="O507" s="74"/>
      <c r="P507" s="74"/>
      <c r="Q507" s="74"/>
    </row>
    <row r="508" spans="1:17" ht="16.5" customHeight="1">
      <c r="A508" s="652"/>
      <c r="B508" s="64" t="s">
        <v>263</v>
      </c>
      <c r="C508" s="64" t="s">
        <v>590</v>
      </c>
      <c r="D508" s="64" t="s">
        <v>194</v>
      </c>
      <c r="E508" s="598" t="s">
        <v>591</v>
      </c>
      <c r="F508" s="598" t="s">
        <v>592</v>
      </c>
      <c r="G508" s="598" t="s">
        <v>593</v>
      </c>
      <c r="I508" s="637" t="s">
        <v>712</v>
      </c>
      <c r="J508" s="637" t="s">
        <v>713</v>
      </c>
      <c r="K508" s="637" t="s">
        <v>714</v>
      </c>
      <c r="L508" s="61"/>
      <c r="M508" s="653"/>
      <c r="N508" s="654"/>
      <c r="Q508" s="655"/>
    </row>
    <row r="509" spans="1:17" ht="24.95" customHeight="1">
      <c r="A509" s="67" t="s">
        <v>236</v>
      </c>
      <c r="B509" s="75" t="s">
        <v>715</v>
      </c>
      <c r="C509" s="68" t="s">
        <v>716</v>
      </c>
      <c r="D509" s="94" t="s">
        <v>238</v>
      </c>
      <c r="E509" s="592">
        <v>1</v>
      </c>
      <c r="F509" s="78">
        <f>AVERAGE(I509:K509)</f>
        <v>4634.6633333333339</v>
      </c>
      <c r="G509" s="78">
        <f>F509*E509</f>
        <v>4634.6633333333339</v>
      </c>
      <c r="H509" s="656"/>
      <c r="I509" s="657">
        <v>4296.6000000000004</v>
      </c>
      <c r="J509" s="657">
        <v>4187.3900000000003</v>
      </c>
      <c r="K509" s="657">
        <v>5420</v>
      </c>
      <c r="L509" s="658"/>
      <c r="M509" s="658"/>
      <c r="O509" s="659">
        <f>(J509+K509+L509)/2</f>
        <v>4803.6949999999997</v>
      </c>
      <c r="P509" s="660"/>
      <c r="Q509" s="661"/>
    </row>
    <row r="510" spans="1:17">
      <c r="A510" s="652"/>
      <c r="B510" s="75"/>
      <c r="C510" s="68"/>
      <c r="D510" s="94"/>
      <c r="E510" s="592"/>
      <c r="F510" s="78"/>
      <c r="G510" s="78">
        <f>F510*E510</f>
        <v>0</v>
      </c>
      <c r="I510" s="632"/>
      <c r="J510" s="632"/>
      <c r="K510" s="632"/>
      <c r="L510" s="61"/>
      <c r="M510" s="658"/>
      <c r="N510" s="658"/>
      <c r="O510" s="659"/>
      <c r="Q510" s="71"/>
    </row>
    <row r="511" spans="1:17">
      <c r="A511" s="652"/>
      <c r="B511" s="75"/>
      <c r="C511" s="68"/>
      <c r="D511" s="94"/>
      <c r="E511" s="592"/>
      <c r="F511" s="78"/>
      <c r="G511" s="78">
        <f>F511*E511</f>
        <v>0</v>
      </c>
      <c r="J511" s="658"/>
      <c r="K511" s="658"/>
      <c r="L511" s="71"/>
      <c r="M511" s="658"/>
      <c r="O511" s="659"/>
    </row>
    <row r="512" spans="1:17">
      <c r="A512" s="652"/>
      <c r="B512" s="72"/>
      <c r="C512" s="662"/>
      <c r="D512" s="69"/>
      <c r="E512" s="663"/>
      <c r="F512" s="663"/>
      <c r="G512" s="608"/>
      <c r="K512" s="61"/>
    </row>
    <row r="513" spans="1:15">
      <c r="A513" s="652"/>
      <c r="B513" s="64"/>
      <c r="C513" s="73" t="s">
        <v>594</v>
      </c>
      <c r="D513" s="73"/>
      <c r="E513" s="76"/>
      <c r="F513" s="82"/>
      <c r="G513" s="82">
        <f>SUM(G509:G511)</f>
        <v>4634.6633333333339</v>
      </c>
    </row>
    <row r="514" spans="1:15">
      <c r="A514" s="652"/>
      <c r="B514" s="64"/>
      <c r="C514" s="64" t="s">
        <v>595</v>
      </c>
      <c r="D514" s="64" t="s">
        <v>194</v>
      </c>
      <c r="E514" s="598" t="s">
        <v>591</v>
      </c>
      <c r="F514" s="598" t="s">
        <v>592</v>
      </c>
      <c r="G514" s="598" t="s">
        <v>593</v>
      </c>
    </row>
    <row r="515" spans="1:15" ht="24.75">
      <c r="A515" s="67" t="s">
        <v>188</v>
      </c>
      <c r="B515" s="651">
        <v>88264</v>
      </c>
      <c r="C515" s="68" t="s">
        <v>214</v>
      </c>
      <c r="D515" s="69" t="s">
        <v>604</v>
      </c>
      <c r="E515" s="592">
        <v>2</v>
      </c>
      <c r="F515" s="70">
        <v>13.76</v>
      </c>
      <c r="G515" s="76">
        <f>F515*E515</f>
        <v>27.52</v>
      </c>
    </row>
    <row r="516" spans="1:15" ht="24.75">
      <c r="A516" s="67" t="s">
        <v>188</v>
      </c>
      <c r="B516" s="651">
        <v>88247</v>
      </c>
      <c r="C516" s="68" t="s">
        <v>215</v>
      </c>
      <c r="D516" s="69" t="s">
        <v>604</v>
      </c>
      <c r="E516" s="592">
        <v>2</v>
      </c>
      <c r="F516" s="70">
        <v>11.2</v>
      </c>
      <c r="G516" s="76">
        <f>F516*E516</f>
        <v>22.4</v>
      </c>
    </row>
    <row r="517" spans="1:15">
      <c r="A517" s="652"/>
      <c r="B517" s="64"/>
      <c r="C517" s="73"/>
      <c r="D517" s="69"/>
      <c r="E517" s="628"/>
      <c r="F517" s="76"/>
      <c r="G517" s="76">
        <f>F517*E517</f>
        <v>0</v>
      </c>
    </row>
    <row r="518" spans="1:15">
      <c r="A518" s="652"/>
      <c r="B518" s="64"/>
      <c r="C518" s="73" t="s">
        <v>253</v>
      </c>
      <c r="D518" s="69"/>
      <c r="E518" s="610"/>
      <c r="F518" s="76"/>
      <c r="G518" s="76">
        <f>SUM(G515:G517)</f>
        <v>49.92</v>
      </c>
    </row>
    <row r="519" spans="1:15">
      <c r="A519" s="652"/>
      <c r="B519" s="64"/>
      <c r="C519" s="73"/>
      <c r="D519" s="69"/>
      <c r="E519" s="610"/>
      <c r="F519" s="76"/>
      <c r="G519" s="76"/>
    </row>
    <row r="520" spans="1:15">
      <c r="A520" s="652"/>
      <c r="B520" s="64"/>
      <c r="C520" s="73" t="s">
        <v>597</v>
      </c>
      <c r="D520" s="73"/>
      <c r="E520" s="76"/>
      <c r="F520" s="76"/>
      <c r="G520" s="76">
        <f>G518</f>
        <v>49.92</v>
      </c>
    </row>
    <row r="521" spans="1:15">
      <c r="A521" s="652"/>
      <c r="B521" s="64"/>
      <c r="C521" s="73"/>
      <c r="D521" s="73"/>
      <c r="E521" s="76"/>
      <c r="F521" s="76"/>
      <c r="G521" s="76"/>
    </row>
    <row r="522" spans="1:15">
      <c r="A522" s="652"/>
      <c r="B522" s="64"/>
      <c r="C522" s="73" t="s">
        <v>717</v>
      </c>
      <c r="D522" s="73"/>
      <c r="E522" s="76"/>
      <c r="F522" s="76"/>
      <c r="G522" s="76">
        <f>G513+G520</f>
        <v>4684.5833333333339</v>
      </c>
    </row>
    <row r="523" spans="1:15">
      <c r="A523" s="652"/>
      <c r="B523" s="64"/>
      <c r="C523" s="597" t="s">
        <v>331</v>
      </c>
      <c r="D523" s="597"/>
      <c r="E523" s="600"/>
      <c r="F523" s="600"/>
      <c r="G523" s="600">
        <f>G522</f>
        <v>4684.5833333333339</v>
      </c>
    </row>
    <row r="524" spans="1:15">
      <c r="A524" s="613"/>
      <c r="B524" s="614"/>
      <c r="C524" s="615"/>
      <c r="D524" s="615"/>
      <c r="E524" s="616"/>
      <c r="F524" s="616"/>
      <c r="G524" s="617"/>
    </row>
    <row r="525" spans="1:15">
      <c r="A525" s="618"/>
      <c r="B525" s="579"/>
      <c r="C525" s="619"/>
      <c r="D525" s="619"/>
      <c r="E525" s="620"/>
      <c r="F525" s="620"/>
      <c r="G525" s="621"/>
    </row>
    <row r="526" spans="1:15" ht="24.75">
      <c r="A526" s="605" t="s">
        <v>718</v>
      </c>
      <c r="B526" s="622" t="s">
        <v>168</v>
      </c>
      <c r="C526" s="623" t="s">
        <v>326</v>
      </c>
      <c r="D526" s="624" t="s">
        <v>194</v>
      </c>
      <c r="E526" s="625"/>
      <c r="F526" s="626">
        <f>G549</f>
        <v>888.96799999999996</v>
      </c>
      <c r="G526" s="627"/>
      <c r="J526" s="653"/>
      <c r="K526" s="655"/>
      <c r="L526" s="653"/>
      <c r="M526" s="654"/>
      <c r="O526" s="660"/>
    </row>
    <row r="527" spans="1:15">
      <c r="A527" s="589"/>
      <c r="B527" s="72"/>
      <c r="C527" s="64" t="s">
        <v>590</v>
      </c>
      <c r="D527" s="64" t="s">
        <v>194</v>
      </c>
      <c r="E527" s="590" t="s">
        <v>591</v>
      </c>
      <c r="F527" s="590" t="s">
        <v>592</v>
      </c>
      <c r="G527" s="590" t="s">
        <v>593</v>
      </c>
      <c r="I527" s="637" t="s">
        <v>719</v>
      </c>
      <c r="J527" s="637" t="s">
        <v>713</v>
      </c>
      <c r="K527" s="637" t="s">
        <v>720</v>
      </c>
      <c r="L527" s="61"/>
    </row>
    <row r="528" spans="1:15">
      <c r="A528" s="67" t="s">
        <v>236</v>
      </c>
      <c r="B528" s="75" t="s">
        <v>715</v>
      </c>
      <c r="C528" s="95" t="s">
        <v>239</v>
      </c>
      <c r="D528" s="69" t="s">
        <v>194</v>
      </c>
      <c r="E528" s="592">
        <v>1</v>
      </c>
      <c r="F528" s="76">
        <f>AVERAGE(I528:K528)</f>
        <v>869</v>
      </c>
      <c r="G528" s="76">
        <f>+E528*F528</f>
        <v>869</v>
      </c>
      <c r="I528" s="657">
        <v>849</v>
      </c>
      <c r="J528" s="657">
        <v>960</v>
      </c>
      <c r="K528" s="657">
        <v>798</v>
      </c>
      <c r="L528" s="664"/>
      <c r="N528" s="659">
        <f>(K528+L528+M528)/2</f>
        <v>399</v>
      </c>
    </row>
    <row r="529" spans="1:14">
      <c r="A529" s="665"/>
      <c r="B529" s="75"/>
      <c r="C529" s="68"/>
      <c r="D529" s="94"/>
      <c r="E529" s="592"/>
      <c r="F529" s="78"/>
      <c r="G529" s="78">
        <f>F529*E529</f>
        <v>0</v>
      </c>
      <c r="J529" s="658"/>
      <c r="K529" s="71"/>
      <c r="L529" s="658"/>
      <c r="M529" s="666"/>
      <c r="N529" s="659"/>
    </row>
    <row r="530" spans="1:14">
      <c r="A530" s="665"/>
      <c r="B530" s="75"/>
      <c r="C530" s="68"/>
      <c r="D530" s="94"/>
      <c r="E530" s="592"/>
      <c r="F530" s="78"/>
      <c r="G530" s="78">
        <f>F530*E530</f>
        <v>0</v>
      </c>
      <c r="J530" s="658"/>
      <c r="K530" s="71"/>
      <c r="L530" s="658"/>
      <c r="N530" s="659"/>
    </row>
    <row r="531" spans="1:14">
      <c r="A531" s="665"/>
      <c r="B531" s="72"/>
      <c r="C531" s="95"/>
      <c r="D531" s="69"/>
      <c r="E531" s="667"/>
      <c r="F531" s="70"/>
      <c r="G531" s="70"/>
    </row>
    <row r="532" spans="1:14">
      <c r="A532" s="665"/>
      <c r="B532" s="72"/>
      <c r="C532" s="95"/>
      <c r="D532" s="69"/>
      <c r="E532" s="667"/>
      <c r="F532" s="70"/>
      <c r="G532" s="70"/>
    </row>
    <row r="533" spans="1:14">
      <c r="A533" s="589"/>
      <c r="B533" s="72"/>
      <c r="C533" s="646"/>
      <c r="D533" s="646"/>
      <c r="E533" s="646"/>
      <c r="F533" s="646"/>
      <c r="G533" s="649"/>
    </row>
    <row r="534" spans="1:14">
      <c r="A534" s="589"/>
      <c r="B534" s="72"/>
      <c r="C534" s="73" t="s">
        <v>594</v>
      </c>
      <c r="D534" s="73"/>
      <c r="E534" s="70"/>
      <c r="F534" s="649"/>
      <c r="G534" s="649">
        <f>SUM(G528:G533)</f>
        <v>869</v>
      </c>
    </row>
    <row r="535" spans="1:14">
      <c r="A535" s="589"/>
      <c r="B535" s="72"/>
      <c r="C535" s="64" t="s">
        <v>595</v>
      </c>
      <c r="D535" s="64" t="s">
        <v>194</v>
      </c>
      <c r="E535" s="590" t="s">
        <v>591</v>
      </c>
      <c r="F535" s="590" t="s">
        <v>592</v>
      </c>
      <c r="G535" s="590" t="s">
        <v>593</v>
      </c>
    </row>
    <row r="536" spans="1:14" ht="24.75">
      <c r="A536" s="67" t="s">
        <v>188</v>
      </c>
      <c r="B536" s="651">
        <v>88264</v>
      </c>
      <c r="C536" s="68" t="s">
        <v>214</v>
      </c>
      <c r="D536" s="69" t="s">
        <v>604</v>
      </c>
      <c r="E536" s="592">
        <v>0.8</v>
      </c>
      <c r="F536" s="70">
        <v>13.76</v>
      </c>
      <c r="G536" s="76">
        <f>+E536*F536</f>
        <v>11.008000000000001</v>
      </c>
    </row>
    <row r="537" spans="1:14" ht="24.75">
      <c r="A537" s="67" t="s">
        <v>188</v>
      </c>
      <c r="B537" s="651">
        <v>88247</v>
      </c>
      <c r="C537" s="68" t="s">
        <v>215</v>
      </c>
      <c r="D537" s="69" t="s">
        <v>604</v>
      </c>
      <c r="E537" s="592">
        <v>0.8</v>
      </c>
      <c r="F537" s="70">
        <v>11.2</v>
      </c>
      <c r="G537" s="76">
        <f>+E537*F537</f>
        <v>8.9599999999999991</v>
      </c>
    </row>
    <row r="538" spans="1:14">
      <c r="A538" s="589"/>
      <c r="B538" s="72"/>
      <c r="C538" s="73"/>
      <c r="D538" s="69"/>
      <c r="E538" s="612"/>
      <c r="F538" s="70"/>
      <c r="G538" s="70"/>
    </row>
    <row r="539" spans="1:14">
      <c r="A539" s="589"/>
      <c r="B539" s="72"/>
      <c r="C539" s="73" t="s">
        <v>673</v>
      </c>
      <c r="D539" s="69"/>
      <c r="E539" s="612"/>
      <c r="F539" s="70"/>
      <c r="G539" s="70">
        <f>SUM(G536:G538)</f>
        <v>19.968</v>
      </c>
    </row>
    <row r="540" spans="1:14">
      <c r="A540" s="589"/>
      <c r="B540" s="72"/>
      <c r="C540" s="73"/>
      <c r="D540" s="69"/>
      <c r="E540" s="612"/>
      <c r="F540" s="70"/>
      <c r="G540" s="70"/>
    </row>
    <row r="541" spans="1:14">
      <c r="A541" s="589"/>
      <c r="B541" s="72"/>
      <c r="C541" s="73" t="s">
        <v>597</v>
      </c>
      <c r="D541" s="73"/>
      <c r="E541" s="70"/>
      <c r="F541" s="70"/>
      <c r="G541" s="70">
        <f>SUM(G539:G540)</f>
        <v>19.968</v>
      </c>
    </row>
    <row r="542" spans="1:14">
      <c r="A542" s="589"/>
      <c r="B542" s="72"/>
      <c r="C542" s="73"/>
      <c r="D542" s="73"/>
      <c r="E542" s="70"/>
      <c r="F542" s="70"/>
      <c r="G542" s="70"/>
    </row>
    <row r="543" spans="1:14">
      <c r="A543" s="589"/>
      <c r="B543" s="64"/>
      <c r="C543" s="597" t="s">
        <v>598</v>
      </c>
      <c r="D543" s="64" t="s">
        <v>194</v>
      </c>
      <c r="E543" s="598" t="s">
        <v>591</v>
      </c>
      <c r="F543" s="598" t="s">
        <v>592</v>
      </c>
      <c r="G543" s="598" t="s">
        <v>593</v>
      </c>
    </row>
    <row r="544" spans="1:14">
      <c r="A544" s="589"/>
      <c r="B544" s="64"/>
      <c r="C544" s="80"/>
      <c r="D544" s="69" t="s">
        <v>604</v>
      </c>
      <c r="E544" s="612"/>
      <c r="F544" s="70"/>
      <c r="G544" s="70">
        <f>+E544*F544</f>
        <v>0</v>
      </c>
    </row>
    <row r="545" spans="1:14">
      <c r="A545" s="589"/>
      <c r="B545" s="64"/>
      <c r="C545" s="68"/>
      <c r="D545" s="69"/>
      <c r="E545" s="599"/>
      <c r="F545" s="91"/>
      <c r="G545" s="91"/>
    </row>
    <row r="546" spans="1:14">
      <c r="A546" s="589"/>
      <c r="B546" s="64"/>
      <c r="C546" s="73" t="s">
        <v>599</v>
      </c>
      <c r="D546" s="73"/>
      <c r="E546" s="76"/>
      <c r="F546" s="76"/>
      <c r="G546" s="76">
        <f>SUM(G544:G544)</f>
        <v>0</v>
      </c>
    </row>
    <row r="547" spans="1:14">
      <c r="A547" s="589"/>
      <c r="B547" s="64"/>
      <c r="C547" s="73"/>
      <c r="D547" s="73"/>
      <c r="E547" s="76"/>
      <c r="F547" s="76"/>
      <c r="G547" s="76"/>
    </row>
    <row r="548" spans="1:14">
      <c r="A548" s="589"/>
      <c r="B548" s="64"/>
      <c r="C548" s="73" t="s">
        <v>605</v>
      </c>
      <c r="D548" s="73"/>
      <c r="E548" s="76"/>
      <c r="F548" s="76"/>
      <c r="G548" s="76">
        <f>G534+G541+G546</f>
        <v>888.96799999999996</v>
      </c>
    </row>
    <row r="549" spans="1:14">
      <c r="A549" s="589"/>
      <c r="B549" s="64"/>
      <c r="C549" s="597" t="s">
        <v>331</v>
      </c>
      <c r="D549" s="73"/>
      <c r="E549" s="76"/>
      <c r="F549" s="76"/>
      <c r="G549" s="600">
        <f>G548</f>
        <v>888.96799999999996</v>
      </c>
    </row>
    <row r="550" spans="1:14">
      <c r="A550" s="613"/>
      <c r="B550" s="614"/>
      <c r="C550" s="615"/>
      <c r="D550" s="615"/>
      <c r="E550" s="616"/>
      <c r="F550" s="616"/>
      <c r="G550" s="617"/>
      <c r="N550" s="74"/>
    </row>
    <row r="551" spans="1:14">
      <c r="A551" s="618"/>
      <c r="B551" s="579"/>
      <c r="C551" s="619"/>
      <c r="D551" s="619"/>
      <c r="E551" s="620"/>
      <c r="F551" s="620"/>
      <c r="G551" s="621"/>
      <c r="N551" s="74"/>
    </row>
    <row r="552" spans="1:14" ht="33">
      <c r="A552" s="605" t="s">
        <v>721</v>
      </c>
      <c r="B552" s="622" t="s">
        <v>132</v>
      </c>
      <c r="C552" s="623" t="s">
        <v>303</v>
      </c>
      <c r="D552" s="624" t="s">
        <v>30</v>
      </c>
      <c r="E552" s="625"/>
      <c r="F552" s="626">
        <f>G568</f>
        <v>402.53</v>
      </c>
      <c r="G552" s="627"/>
      <c r="N552" s="74"/>
    </row>
    <row r="553" spans="1:14">
      <c r="A553" s="652"/>
      <c r="B553" s="64" t="s">
        <v>263</v>
      </c>
      <c r="C553" s="64" t="s">
        <v>590</v>
      </c>
      <c r="D553" s="64" t="s">
        <v>194</v>
      </c>
      <c r="E553" s="598" t="s">
        <v>591</v>
      </c>
      <c r="F553" s="598" t="s">
        <v>592</v>
      </c>
      <c r="G553" s="598" t="s">
        <v>593</v>
      </c>
      <c r="N553" s="74"/>
    </row>
    <row r="554" spans="1:14" ht="24.75">
      <c r="A554" s="67" t="s">
        <v>184</v>
      </c>
      <c r="B554" s="75">
        <v>13405</v>
      </c>
      <c r="C554" s="68" t="s">
        <v>240</v>
      </c>
      <c r="D554" s="94" t="s">
        <v>194</v>
      </c>
      <c r="E554" s="592">
        <v>1</v>
      </c>
      <c r="F554" s="78">
        <v>252.77</v>
      </c>
      <c r="G554" s="78">
        <f>F554*E554</f>
        <v>252.77</v>
      </c>
      <c r="N554" s="74"/>
    </row>
    <row r="555" spans="1:14">
      <c r="A555" s="652"/>
      <c r="B555" s="75"/>
      <c r="C555" s="68"/>
      <c r="D555" s="94"/>
      <c r="E555" s="592"/>
      <c r="F555" s="78"/>
      <c r="G555" s="78">
        <f>F555*E555</f>
        <v>0</v>
      </c>
      <c r="N555" s="74"/>
    </row>
    <row r="556" spans="1:14">
      <c r="A556" s="652"/>
      <c r="B556" s="75"/>
      <c r="C556" s="68"/>
      <c r="D556" s="94"/>
      <c r="E556" s="592"/>
      <c r="F556" s="78"/>
      <c r="G556" s="78">
        <f>F556*E556</f>
        <v>0</v>
      </c>
      <c r="N556" s="74"/>
    </row>
    <row r="557" spans="1:14">
      <c r="A557" s="652"/>
      <c r="B557" s="72"/>
      <c r="C557" s="662"/>
      <c r="D557" s="69"/>
      <c r="E557" s="663"/>
      <c r="F557" s="663"/>
      <c r="G557" s="608"/>
      <c r="N557" s="74"/>
    </row>
    <row r="558" spans="1:14">
      <c r="A558" s="652"/>
      <c r="B558" s="64"/>
      <c r="C558" s="73" t="s">
        <v>594</v>
      </c>
      <c r="D558" s="73"/>
      <c r="E558" s="76"/>
      <c r="F558" s="82"/>
      <c r="G558" s="82">
        <f>SUM(G554:G556)</f>
        <v>252.77</v>
      </c>
      <c r="N558" s="74"/>
    </row>
    <row r="559" spans="1:14">
      <c r="A559" s="652"/>
      <c r="B559" s="64"/>
      <c r="C559" s="64" t="s">
        <v>595</v>
      </c>
      <c r="D559" s="64" t="s">
        <v>194</v>
      </c>
      <c r="E559" s="598" t="s">
        <v>591</v>
      </c>
      <c r="F559" s="598" t="s">
        <v>592</v>
      </c>
      <c r="G559" s="598" t="s">
        <v>593</v>
      </c>
      <c r="N559" s="74"/>
    </row>
    <row r="560" spans="1:14" ht="24.75">
      <c r="A560" s="67" t="s">
        <v>188</v>
      </c>
      <c r="B560" s="651">
        <v>88264</v>
      </c>
      <c r="C560" s="68" t="s">
        <v>214</v>
      </c>
      <c r="D560" s="69" t="s">
        <v>190</v>
      </c>
      <c r="E560" s="592">
        <v>6</v>
      </c>
      <c r="F560" s="70">
        <v>13.76</v>
      </c>
      <c r="G560" s="76">
        <f>F560*E560</f>
        <v>82.56</v>
      </c>
      <c r="N560" s="74"/>
    </row>
    <row r="561" spans="1:14" ht="24.75">
      <c r="A561" s="67" t="s">
        <v>188</v>
      </c>
      <c r="B561" s="651">
        <v>88247</v>
      </c>
      <c r="C561" s="68" t="s">
        <v>215</v>
      </c>
      <c r="D561" s="69" t="s">
        <v>190</v>
      </c>
      <c r="E561" s="592">
        <v>6</v>
      </c>
      <c r="F561" s="70">
        <v>11.2</v>
      </c>
      <c r="G561" s="76">
        <f>F561*E561</f>
        <v>67.199999999999989</v>
      </c>
      <c r="N561" s="74"/>
    </row>
    <row r="562" spans="1:14">
      <c r="A562" s="652"/>
      <c r="B562" s="64"/>
      <c r="C562" s="73"/>
      <c r="D562" s="69"/>
      <c r="E562" s="628"/>
      <c r="F562" s="76"/>
      <c r="G562" s="76">
        <f>F562*E562</f>
        <v>0</v>
      </c>
      <c r="N562" s="74"/>
    </row>
    <row r="563" spans="1:14">
      <c r="A563" s="652"/>
      <c r="B563" s="64"/>
      <c r="C563" s="73" t="s">
        <v>253</v>
      </c>
      <c r="D563" s="69"/>
      <c r="E563" s="610"/>
      <c r="F563" s="76"/>
      <c r="G563" s="76">
        <f>SUM(G560:G562)</f>
        <v>149.76</v>
      </c>
      <c r="N563" s="74"/>
    </row>
    <row r="564" spans="1:14">
      <c r="A564" s="652"/>
      <c r="B564" s="64"/>
      <c r="C564" s="73"/>
      <c r="D564" s="69"/>
      <c r="E564" s="610"/>
      <c r="F564" s="76"/>
      <c r="G564" s="76"/>
      <c r="N564" s="74"/>
    </row>
    <row r="565" spans="1:14">
      <c r="A565" s="652"/>
      <c r="B565" s="64"/>
      <c r="C565" s="73" t="s">
        <v>597</v>
      </c>
      <c r="D565" s="73"/>
      <c r="E565" s="76"/>
      <c r="F565" s="76"/>
      <c r="G565" s="76">
        <f>G563</f>
        <v>149.76</v>
      </c>
      <c r="N565" s="74"/>
    </row>
    <row r="566" spans="1:14">
      <c r="A566" s="652"/>
      <c r="B566" s="64"/>
      <c r="C566" s="73"/>
      <c r="D566" s="73"/>
      <c r="E566" s="76"/>
      <c r="F566" s="76"/>
      <c r="G566" s="76"/>
      <c r="N566" s="74"/>
    </row>
    <row r="567" spans="1:14">
      <c r="A567" s="652"/>
      <c r="B567" s="64"/>
      <c r="C567" s="73" t="s">
        <v>717</v>
      </c>
      <c r="D567" s="73"/>
      <c r="E567" s="76"/>
      <c r="F567" s="76"/>
      <c r="G567" s="76">
        <f>G558+G565</f>
        <v>402.53</v>
      </c>
      <c r="N567" s="74"/>
    </row>
    <row r="568" spans="1:14">
      <c r="A568" s="652"/>
      <c r="B568" s="64"/>
      <c r="C568" s="597" t="s">
        <v>331</v>
      </c>
      <c r="D568" s="597"/>
      <c r="E568" s="600"/>
      <c r="F568" s="600"/>
      <c r="G568" s="600">
        <f>G567</f>
        <v>402.53</v>
      </c>
      <c r="N568" s="74"/>
    </row>
    <row r="569" spans="1:14">
      <c r="A569" s="652"/>
      <c r="B569" s="64"/>
      <c r="C569" s="597"/>
      <c r="D569" s="597"/>
      <c r="E569" s="600"/>
      <c r="F569" s="600"/>
      <c r="G569" s="600"/>
      <c r="N569" s="74"/>
    </row>
    <row r="570" spans="1:14">
      <c r="A570" s="613"/>
      <c r="B570" s="614"/>
      <c r="C570" s="615"/>
      <c r="D570" s="615"/>
      <c r="E570" s="616"/>
      <c r="F570" s="616"/>
      <c r="G570" s="617"/>
      <c r="N570" s="74"/>
    </row>
    <row r="571" spans="1:14" ht="24.75" hidden="1">
      <c r="A571" s="605" t="s">
        <v>718</v>
      </c>
      <c r="B571" s="622" t="s">
        <v>425</v>
      </c>
      <c r="C571" s="623" t="s">
        <v>722</v>
      </c>
      <c r="D571" s="622" t="s">
        <v>17</v>
      </c>
      <c r="E571" s="625"/>
      <c r="F571" s="626">
        <f>G595</f>
        <v>15.579269999999999</v>
      </c>
      <c r="G571" s="627"/>
      <c r="N571" s="74"/>
    </row>
    <row r="572" spans="1:14" hidden="1">
      <c r="A572" s="589"/>
      <c r="B572" s="72"/>
      <c r="C572" s="64" t="s">
        <v>590</v>
      </c>
      <c r="D572" s="64" t="s">
        <v>194</v>
      </c>
      <c r="E572" s="590" t="s">
        <v>591</v>
      </c>
      <c r="F572" s="590" t="s">
        <v>592</v>
      </c>
      <c r="G572" s="590" t="s">
        <v>593</v>
      </c>
      <c r="N572" s="74"/>
    </row>
    <row r="573" spans="1:14" hidden="1">
      <c r="A573" s="665"/>
      <c r="B573" s="72">
        <v>159</v>
      </c>
      <c r="C573" s="95" t="s">
        <v>723</v>
      </c>
      <c r="D573" s="69" t="s">
        <v>53</v>
      </c>
      <c r="E573" s="592">
        <v>5.0000000000000001E-3</v>
      </c>
      <c r="F573" s="76">
        <v>199.27</v>
      </c>
      <c r="G573" s="76">
        <f>+E573*F573</f>
        <v>0.99635000000000007</v>
      </c>
      <c r="N573" s="74"/>
    </row>
    <row r="574" spans="1:14" hidden="1">
      <c r="A574" s="665"/>
      <c r="B574" s="75">
        <v>370</v>
      </c>
      <c r="C574" s="68" t="s">
        <v>690</v>
      </c>
      <c r="D574" s="69" t="s">
        <v>53</v>
      </c>
      <c r="E574" s="592">
        <v>3.2000000000000001E-2</v>
      </c>
      <c r="F574" s="78">
        <v>67.5</v>
      </c>
      <c r="G574" s="78">
        <f>F574*E574</f>
        <v>2.16</v>
      </c>
      <c r="N574" s="74"/>
    </row>
    <row r="575" spans="1:14" hidden="1">
      <c r="A575" s="665"/>
      <c r="B575" s="75">
        <v>7253</v>
      </c>
      <c r="C575" s="68" t="s">
        <v>724</v>
      </c>
      <c r="D575" s="94" t="s">
        <v>53</v>
      </c>
      <c r="E575" s="592">
        <v>7.3999999999999996E-2</v>
      </c>
      <c r="F575" s="78">
        <v>119.56</v>
      </c>
      <c r="G575" s="78">
        <f>F575*E575</f>
        <v>8.8474399999999989</v>
      </c>
      <c r="N575" s="74"/>
    </row>
    <row r="576" spans="1:14" hidden="1">
      <c r="A576" s="665"/>
      <c r="B576" s="72">
        <v>25951</v>
      </c>
      <c r="C576" s="95" t="s">
        <v>725</v>
      </c>
      <c r="D576" s="69" t="s">
        <v>291</v>
      </c>
      <c r="E576" s="592">
        <v>7.3999999999999996E-2</v>
      </c>
      <c r="F576" s="70">
        <v>0.93</v>
      </c>
      <c r="G576" s="78">
        <f>F576*E576</f>
        <v>6.8820000000000006E-2</v>
      </c>
      <c r="N576" s="74"/>
    </row>
    <row r="577" spans="1:14" hidden="1">
      <c r="A577" s="665"/>
      <c r="B577" s="72">
        <v>25963</v>
      </c>
      <c r="C577" s="95" t="s">
        <v>726</v>
      </c>
      <c r="D577" s="69" t="s">
        <v>291</v>
      </c>
      <c r="E577" s="592">
        <v>7.3999999999999996E-2</v>
      </c>
      <c r="F577" s="70">
        <v>0.09</v>
      </c>
      <c r="G577" s="78">
        <f>F577*E577</f>
        <v>6.6599999999999993E-3</v>
      </c>
      <c r="I577" s="602" t="s">
        <v>727</v>
      </c>
      <c r="J577" s="602" t="s">
        <v>728</v>
      </c>
      <c r="K577" s="603"/>
      <c r="L577" s="603"/>
      <c r="N577" s="74"/>
    </row>
    <row r="578" spans="1:14" hidden="1">
      <c r="A578" s="665"/>
      <c r="B578" s="72" t="s">
        <v>236</v>
      </c>
      <c r="C578" s="95" t="s">
        <v>729</v>
      </c>
      <c r="D578" s="69" t="s">
        <v>17</v>
      </c>
      <c r="E578" s="592">
        <v>1</v>
      </c>
      <c r="F578" s="70">
        <f>L578</f>
        <v>3.5</v>
      </c>
      <c r="G578" s="78">
        <f>F578*E578</f>
        <v>3.5</v>
      </c>
      <c r="I578" s="668">
        <v>3</v>
      </c>
      <c r="J578" s="668">
        <v>4</v>
      </c>
      <c r="L578" s="575">
        <f>(I578+J578)/2</f>
        <v>3.5</v>
      </c>
      <c r="N578" s="74"/>
    </row>
    <row r="579" spans="1:14" hidden="1">
      <c r="A579" s="589"/>
      <c r="B579" s="72"/>
      <c r="C579" s="646"/>
      <c r="D579" s="646"/>
      <c r="E579" s="646"/>
      <c r="F579" s="646"/>
      <c r="G579" s="649"/>
      <c r="N579" s="74"/>
    </row>
    <row r="580" spans="1:14" hidden="1">
      <c r="A580" s="589"/>
      <c r="B580" s="72"/>
      <c r="C580" s="73" t="s">
        <v>594</v>
      </c>
      <c r="D580" s="73"/>
      <c r="E580" s="70"/>
      <c r="F580" s="649"/>
      <c r="G580" s="649">
        <f>SUM(G573:G579)</f>
        <v>15.579269999999999</v>
      </c>
      <c r="N580" s="74"/>
    </row>
    <row r="581" spans="1:14" hidden="1">
      <c r="A581" s="589"/>
      <c r="B581" s="72"/>
      <c r="C581" s="64" t="s">
        <v>595</v>
      </c>
      <c r="D581" s="64" t="s">
        <v>194</v>
      </c>
      <c r="E581" s="590" t="s">
        <v>591</v>
      </c>
      <c r="F581" s="590" t="s">
        <v>592</v>
      </c>
      <c r="G581" s="590" t="s">
        <v>593</v>
      </c>
      <c r="N581" s="74"/>
    </row>
    <row r="582" spans="1:14" hidden="1">
      <c r="A582" s="589"/>
      <c r="B582" s="651">
        <v>88316</v>
      </c>
      <c r="C582" s="68" t="s">
        <v>202</v>
      </c>
      <c r="D582" s="69" t="s">
        <v>190</v>
      </c>
      <c r="E582" s="592">
        <v>0.09</v>
      </c>
      <c r="F582" s="70"/>
      <c r="G582" s="76">
        <f>+E582*F582</f>
        <v>0</v>
      </c>
      <c r="N582" s="74"/>
    </row>
    <row r="583" spans="1:14" hidden="1">
      <c r="A583" s="589"/>
      <c r="B583" s="651">
        <v>88441</v>
      </c>
      <c r="C583" s="68" t="s">
        <v>730</v>
      </c>
      <c r="D583" s="69" t="s">
        <v>190</v>
      </c>
      <c r="E583" s="592">
        <v>0.09</v>
      </c>
      <c r="F583" s="70"/>
      <c r="G583" s="76">
        <f>+E583*F583</f>
        <v>0</v>
      </c>
      <c r="N583" s="74"/>
    </row>
    <row r="584" spans="1:14" hidden="1">
      <c r="A584" s="589"/>
      <c r="B584" s="72"/>
      <c r="C584" s="73"/>
      <c r="D584" s="69"/>
      <c r="E584" s="612"/>
      <c r="F584" s="70"/>
      <c r="G584" s="70"/>
      <c r="N584" s="74"/>
    </row>
    <row r="585" spans="1:14" hidden="1">
      <c r="A585" s="589"/>
      <c r="B585" s="72"/>
      <c r="C585" s="73" t="s">
        <v>673</v>
      </c>
      <c r="D585" s="69"/>
      <c r="E585" s="612"/>
      <c r="F585" s="70"/>
      <c r="G585" s="70">
        <f>SUM(G582:G584)</f>
        <v>0</v>
      </c>
      <c r="N585" s="74"/>
    </row>
    <row r="586" spans="1:14" hidden="1">
      <c r="A586" s="589"/>
      <c r="B586" s="72"/>
      <c r="C586" s="73" t="s">
        <v>674</v>
      </c>
      <c r="D586" s="69"/>
      <c r="E586" s="612"/>
      <c r="F586" s="70"/>
      <c r="G586" s="70"/>
      <c r="N586" s="74"/>
    </row>
    <row r="587" spans="1:14" hidden="1">
      <c r="A587" s="589"/>
      <c r="B587" s="72"/>
      <c r="C587" s="73" t="s">
        <v>597</v>
      </c>
      <c r="D587" s="73"/>
      <c r="E587" s="70"/>
      <c r="F587" s="70"/>
      <c r="G587" s="70">
        <f>SUM(G585:G586)</f>
        <v>0</v>
      </c>
      <c r="N587" s="74"/>
    </row>
    <row r="588" spans="1:14" hidden="1">
      <c r="A588" s="589"/>
      <c r="B588" s="72"/>
      <c r="C588" s="73"/>
      <c r="D588" s="73"/>
      <c r="E588" s="70"/>
      <c r="F588" s="70"/>
      <c r="G588" s="70"/>
      <c r="N588" s="74"/>
    </row>
    <row r="589" spans="1:14" hidden="1">
      <c r="A589" s="589"/>
      <c r="B589" s="64"/>
      <c r="C589" s="597" t="s">
        <v>598</v>
      </c>
      <c r="D589" s="64" t="s">
        <v>194</v>
      </c>
      <c r="E589" s="598" t="s">
        <v>591</v>
      </c>
      <c r="F589" s="598" t="s">
        <v>592</v>
      </c>
      <c r="G589" s="598" t="s">
        <v>593</v>
      </c>
      <c r="N589" s="74"/>
    </row>
    <row r="590" spans="1:14" hidden="1">
      <c r="A590" s="589"/>
      <c r="B590" s="64"/>
      <c r="C590" s="80"/>
      <c r="D590" s="69" t="s">
        <v>604</v>
      </c>
      <c r="E590" s="612"/>
      <c r="F590" s="70"/>
      <c r="G590" s="70">
        <f>+E590*F590</f>
        <v>0</v>
      </c>
      <c r="N590" s="74"/>
    </row>
    <row r="591" spans="1:14" hidden="1">
      <c r="A591" s="589"/>
      <c r="B591" s="64"/>
      <c r="C591" s="68"/>
      <c r="D591" s="69"/>
      <c r="E591" s="599"/>
      <c r="F591" s="91"/>
      <c r="G591" s="91"/>
      <c r="N591" s="74"/>
    </row>
    <row r="592" spans="1:14" hidden="1">
      <c r="A592" s="589"/>
      <c r="B592" s="64"/>
      <c r="C592" s="73" t="s">
        <v>599</v>
      </c>
      <c r="D592" s="73"/>
      <c r="E592" s="76"/>
      <c r="F592" s="76"/>
      <c r="G592" s="76">
        <f>SUM(G590:G590)</f>
        <v>0</v>
      </c>
      <c r="N592" s="74"/>
    </row>
    <row r="593" spans="1:14" hidden="1">
      <c r="A593" s="589"/>
      <c r="B593" s="64"/>
      <c r="C593" s="73"/>
      <c r="D593" s="73"/>
      <c r="E593" s="76"/>
      <c r="F593" s="76"/>
      <c r="G593" s="76"/>
      <c r="N593" s="74"/>
    </row>
    <row r="594" spans="1:14" hidden="1">
      <c r="A594" s="589"/>
      <c r="B594" s="64"/>
      <c r="C594" s="73" t="s">
        <v>605</v>
      </c>
      <c r="D594" s="73"/>
      <c r="E594" s="76"/>
      <c r="F594" s="76"/>
      <c r="G594" s="76">
        <f>G580+G587+G592</f>
        <v>15.579269999999999</v>
      </c>
      <c r="N594" s="74"/>
    </row>
    <row r="595" spans="1:14" hidden="1">
      <c r="A595" s="589"/>
      <c r="B595" s="64"/>
      <c r="C595" s="597" t="s">
        <v>331</v>
      </c>
      <c r="D595" s="73"/>
      <c r="E595" s="76"/>
      <c r="F595" s="76"/>
      <c r="G595" s="600">
        <f>G594</f>
        <v>15.579269999999999</v>
      </c>
      <c r="N595" s="74"/>
    </row>
    <row r="596" spans="1:14">
      <c r="A596" s="669"/>
      <c r="B596" s="85"/>
      <c r="C596" s="670"/>
      <c r="D596" s="670"/>
      <c r="E596" s="670"/>
      <c r="F596" s="670"/>
      <c r="G596" s="670"/>
      <c r="H596" s="61"/>
      <c r="I596" s="61"/>
      <c r="J596" s="61"/>
      <c r="K596" s="61"/>
      <c r="L596" s="61"/>
    </row>
    <row r="597" spans="1:14">
      <c r="A597" s="669"/>
      <c r="B597" s="85"/>
      <c r="C597" s="670" t="str">
        <f>'ORÇAMENTO SEM BDI'!D96</f>
        <v>REFERÊNCIA:</v>
      </c>
      <c r="D597" s="670"/>
      <c r="E597" s="670"/>
      <c r="F597" s="670"/>
      <c r="G597" s="670"/>
      <c r="H597" s="61"/>
      <c r="I597" s="61"/>
      <c r="J597" s="61"/>
      <c r="K597" s="61"/>
      <c r="L597" s="61"/>
    </row>
    <row r="598" spans="1:14">
      <c r="A598" s="669"/>
      <c r="B598" s="85"/>
      <c r="C598" s="670" t="str">
        <f>'ORÇAMENTO SEM BDI'!D97</f>
        <v>SINAPI NACIONAL - JANEIRO / 2016 com desoneração</v>
      </c>
      <c r="D598" s="670"/>
      <c r="E598" s="670"/>
      <c r="F598" s="670"/>
      <c r="G598" s="670"/>
      <c r="H598" s="61"/>
      <c r="I598" s="61"/>
      <c r="J598" s="61"/>
      <c r="K598" s="61"/>
      <c r="L598" s="61"/>
    </row>
    <row r="599" spans="1:14">
      <c r="A599" s="671"/>
      <c r="B599" s="71"/>
      <c r="C599" s="61"/>
      <c r="D599" s="61"/>
      <c r="E599" s="61"/>
      <c r="F599" s="61"/>
      <c r="G599" s="61"/>
      <c r="H599" s="61"/>
      <c r="I599" s="61"/>
      <c r="J599" s="61"/>
      <c r="K599" s="61"/>
      <c r="L599" s="61"/>
    </row>
    <row r="600" spans="1:14">
      <c r="A600" s="671"/>
      <c r="B600" s="71"/>
      <c r="C600" s="61"/>
      <c r="D600" s="61"/>
      <c r="E600" s="61"/>
      <c r="F600" s="61"/>
      <c r="G600" s="61"/>
      <c r="H600" s="61"/>
      <c r="I600" s="61"/>
      <c r="J600" s="61"/>
      <c r="K600" s="61"/>
      <c r="L600" s="61"/>
    </row>
    <row r="601" spans="1:14" ht="22.5">
      <c r="A601" s="638"/>
      <c r="B601" s="622" t="s">
        <v>424</v>
      </c>
      <c r="C601" s="623" t="s">
        <v>312</v>
      </c>
      <c r="D601" s="624" t="s">
        <v>112</v>
      </c>
      <c r="E601" s="625"/>
      <c r="F601" s="626">
        <f>G623</f>
        <v>25.62</v>
      </c>
      <c r="G601" s="627"/>
    </row>
    <row r="602" spans="1:14">
      <c r="A602" s="639"/>
      <c r="B602" s="64"/>
      <c r="C602" s="64" t="s">
        <v>590</v>
      </c>
      <c r="D602" s="64" t="s">
        <v>194</v>
      </c>
      <c r="E602" s="640" t="s">
        <v>591</v>
      </c>
      <c r="F602" s="640" t="s">
        <v>592</v>
      </c>
      <c r="G602" s="640" t="s">
        <v>593</v>
      </c>
    </row>
    <row r="603" spans="1:14">
      <c r="A603" s="639"/>
      <c r="B603" s="64"/>
      <c r="C603" s="64"/>
      <c r="D603" s="64"/>
      <c r="E603" s="640"/>
      <c r="F603" s="640"/>
      <c r="G603" s="640"/>
    </row>
    <row r="604" spans="1:14" ht="24.75">
      <c r="A604" s="67" t="s">
        <v>188</v>
      </c>
      <c r="B604" s="69">
        <v>91863</v>
      </c>
      <c r="C604" s="86" t="s">
        <v>682</v>
      </c>
      <c r="D604" s="69" t="s">
        <v>112</v>
      </c>
      <c r="E604" s="592">
        <v>1</v>
      </c>
      <c r="F604" s="87">
        <v>4.49</v>
      </c>
      <c r="G604" s="82">
        <f>F604*E604</f>
        <v>4.49</v>
      </c>
    </row>
    <row r="605" spans="1:14" ht="24.75">
      <c r="A605" s="67" t="s">
        <v>188</v>
      </c>
      <c r="B605" s="69">
        <v>91884</v>
      </c>
      <c r="C605" s="86" t="s">
        <v>683</v>
      </c>
      <c r="D605" s="69" t="s">
        <v>194</v>
      </c>
      <c r="E605" s="592">
        <v>1</v>
      </c>
      <c r="F605" s="87">
        <v>5.81</v>
      </c>
      <c r="G605" s="82">
        <f>F605*E605</f>
        <v>5.81</v>
      </c>
    </row>
    <row r="606" spans="1:14" ht="24.75">
      <c r="A606" s="67" t="s">
        <v>188</v>
      </c>
      <c r="B606" s="69">
        <v>90444</v>
      </c>
      <c r="C606" s="68" t="s">
        <v>678</v>
      </c>
      <c r="D606" s="69" t="s">
        <v>112</v>
      </c>
      <c r="E606" s="641">
        <v>1</v>
      </c>
      <c r="F606" s="92">
        <v>15.32</v>
      </c>
      <c r="G606" s="76">
        <f>+E606*F606</f>
        <v>15.32</v>
      </c>
    </row>
    <row r="607" spans="1:14">
      <c r="A607" s="639"/>
      <c r="B607" s="93"/>
      <c r="C607" s="68"/>
      <c r="D607" s="69"/>
      <c r="E607" s="641"/>
      <c r="F607" s="84"/>
      <c r="G607" s="84"/>
    </row>
    <row r="608" spans="1:14">
      <c r="A608" s="639"/>
      <c r="B608" s="64"/>
      <c r="C608" s="73" t="s">
        <v>594</v>
      </c>
      <c r="D608" s="73"/>
      <c r="E608" s="642"/>
      <c r="F608" s="643"/>
      <c r="G608" s="643">
        <f>SUM(G604:G606)</f>
        <v>25.62</v>
      </c>
    </row>
    <row r="609" spans="1:7">
      <c r="A609" s="639"/>
      <c r="B609" s="64"/>
      <c r="C609" s="73"/>
      <c r="D609" s="73"/>
      <c r="E609" s="642"/>
      <c r="F609" s="643"/>
      <c r="G609" s="643"/>
    </row>
    <row r="610" spans="1:7">
      <c r="A610" s="639"/>
      <c r="B610" s="64"/>
      <c r="C610" s="64" t="s">
        <v>595</v>
      </c>
      <c r="D610" s="64" t="s">
        <v>194</v>
      </c>
      <c r="E610" s="640" t="s">
        <v>591</v>
      </c>
      <c r="F610" s="640" t="s">
        <v>592</v>
      </c>
      <c r="G610" s="640" t="s">
        <v>593</v>
      </c>
    </row>
    <row r="611" spans="1:7">
      <c r="A611" s="644"/>
      <c r="B611" s="85"/>
      <c r="C611" s="73"/>
      <c r="D611" s="69"/>
      <c r="E611" s="592"/>
      <c r="F611" s="70"/>
      <c r="G611" s="76">
        <f>+E611*F611</f>
        <v>0</v>
      </c>
    </row>
    <row r="612" spans="1:7">
      <c r="A612" s="644"/>
      <c r="B612" s="85"/>
      <c r="C612" s="73"/>
      <c r="D612" s="69"/>
      <c r="E612" s="592"/>
      <c r="F612" s="70"/>
      <c r="G612" s="76">
        <f>+E612*F612</f>
        <v>0</v>
      </c>
    </row>
    <row r="613" spans="1:7">
      <c r="A613" s="644"/>
      <c r="B613" s="72"/>
      <c r="C613" s="73"/>
      <c r="D613" s="69"/>
      <c r="E613" s="610"/>
      <c r="F613" s="76"/>
      <c r="G613" s="76"/>
    </row>
    <row r="614" spans="1:7">
      <c r="A614" s="639"/>
      <c r="B614" s="64"/>
      <c r="C614" s="73" t="s">
        <v>673</v>
      </c>
      <c r="D614" s="69"/>
      <c r="E614" s="612"/>
      <c r="F614" s="70"/>
      <c r="G614" s="70">
        <f>SUM(G611:G612)</f>
        <v>0</v>
      </c>
    </row>
    <row r="615" spans="1:7">
      <c r="A615" s="639"/>
      <c r="B615" s="64"/>
      <c r="C615" s="73"/>
      <c r="D615" s="69"/>
      <c r="E615" s="612"/>
      <c r="F615" s="70"/>
      <c r="G615" s="70"/>
    </row>
    <row r="616" spans="1:7">
      <c r="A616" s="639"/>
      <c r="B616" s="64"/>
      <c r="C616" s="73" t="s">
        <v>597</v>
      </c>
      <c r="D616" s="73"/>
      <c r="E616" s="70"/>
      <c r="F616" s="70"/>
      <c r="G616" s="70">
        <f>SUM(G614:G614)</f>
        <v>0</v>
      </c>
    </row>
    <row r="617" spans="1:7">
      <c r="A617" s="639"/>
      <c r="B617" s="64"/>
      <c r="C617" s="73"/>
      <c r="D617" s="73"/>
      <c r="E617" s="642"/>
      <c r="F617" s="642"/>
      <c r="G617" s="642"/>
    </row>
    <row r="618" spans="1:7">
      <c r="A618" s="639"/>
      <c r="B618" s="64"/>
      <c r="C618" s="597" t="s">
        <v>598</v>
      </c>
      <c r="D618" s="64" t="s">
        <v>194</v>
      </c>
      <c r="E618" s="640" t="s">
        <v>591</v>
      </c>
      <c r="F618" s="640" t="s">
        <v>592</v>
      </c>
      <c r="G618" s="640" t="s">
        <v>593</v>
      </c>
    </row>
    <row r="619" spans="1:7">
      <c r="A619" s="639"/>
      <c r="B619" s="64"/>
      <c r="C619" s="68"/>
      <c r="D619" s="69"/>
      <c r="E619" s="599"/>
      <c r="F619" s="91"/>
      <c r="G619" s="91"/>
    </row>
    <row r="620" spans="1:7">
      <c r="A620" s="639"/>
      <c r="B620" s="64"/>
      <c r="C620" s="73" t="s">
        <v>599</v>
      </c>
      <c r="D620" s="73"/>
      <c r="E620" s="642"/>
      <c r="F620" s="642"/>
      <c r="G620" s="642">
        <f>SUM(G619:G619)</f>
        <v>0</v>
      </c>
    </row>
    <row r="621" spans="1:7">
      <c r="A621" s="639"/>
      <c r="B621" s="64"/>
      <c r="C621" s="73"/>
      <c r="D621" s="73"/>
      <c r="E621" s="642"/>
      <c r="F621" s="642"/>
      <c r="G621" s="642"/>
    </row>
    <row r="622" spans="1:7">
      <c r="A622" s="639"/>
      <c r="B622" s="64"/>
      <c r="C622" s="73" t="s">
        <v>605</v>
      </c>
      <c r="D622" s="73"/>
      <c r="E622" s="642"/>
      <c r="F622" s="642"/>
      <c r="G622" s="642">
        <f>G608+G616+G620</f>
        <v>25.62</v>
      </c>
    </row>
    <row r="623" spans="1:7">
      <c r="A623" s="639"/>
      <c r="B623" s="64"/>
      <c r="C623" s="597" t="s">
        <v>331</v>
      </c>
      <c r="D623" s="73"/>
      <c r="E623" s="76"/>
      <c r="F623" s="76"/>
      <c r="G623" s="600">
        <f>G622</f>
        <v>25.62</v>
      </c>
    </row>
    <row r="624" spans="1:7" s="61" customFormat="1">
      <c r="A624" s="672"/>
      <c r="B624" s="673"/>
      <c r="C624" s="674"/>
      <c r="D624" s="674"/>
      <c r="E624" s="674"/>
      <c r="F624" s="674"/>
      <c r="G624" s="675"/>
    </row>
    <row r="625" spans="1:7">
      <c r="A625" s="618"/>
      <c r="B625" s="579"/>
      <c r="C625" s="619"/>
      <c r="D625" s="619"/>
      <c r="E625" s="620"/>
      <c r="F625" s="620"/>
      <c r="G625" s="621"/>
    </row>
    <row r="626" spans="1:7" ht="33">
      <c r="A626" s="605" t="s">
        <v>731</v>
      </c>
      <c r="B626" s="622" t="s">
        <v>425</v>
      </c>
      <c r="C626" s="623" t="s">
        <v>329</v>
      </c>
      <c r="D626" s="624" t="s">
        <v>17</v>
      </c>
      <c r="E626" s="625"/>
      <c r="F626" s="626">
        <f>G646</f>
        <v>793.19999999999993</v>
      </c>
      <c r="G626" s="627"/>
    </row>
    <row r="627" spans="1:7">
      <c r="A627" s="639"/>
      <c r="B627" s="64"/>
      <c r="C627" s="64" t="s">
        <v>590</v>
      </c>
      <c r="D627" s="64" t="s">
        <v>194</v>
      </c>
      <c r="E627" s="640" t="s">
        <v>591</v>
      </c>
      <c r="F627" s="640" t="s">
        <v>592</v>
      </c>
      <c r="G627" s="640" t="s">
        <v>593</v>
      </c>
    </row>
    <row r="628" spans="1:7">
      <c r="A628" s="639"/>
      <c r="B628" s="64"/>
      <c r="C628" s="64"/>
      <c r="D628" s="64"/>
      <c r="E628" s="640"/>
      <c r="F628" s="640"/>
      <c r="G628" s="640"/>
    </row>
    <row r="629" spans="1:7" ht="24.75">
      <c r="A629" s="67" t="s">
        <v>184</v>
      </c>
      <c r="B629" s="69">
        <v>34721</v>
      </c>
      <c r="C629" s="86" t="s">
        <v>732</v>
      </c>
      <c r="D629" s="69" t="s">
        <v>17</v>
      </c>
      <c r="E629" s="592">
        <v>1</v>
      </c>
      <c r="F629" s="87">
        <v>770.4</v>
      </c>
      <c r="G629" s="82">
        <f>F629*E629</f>
        <v>770.4</v>
      </c>
    </row>
    <row r="630" spans="1:7" ht="24.75">
      <c r="A630" s="67" t="s">
        <v>184</v>
      </c>
      <c r="B630" s="69" t="s">
        <v>733</v>
      </c>
      <c r="C630" s="86" t="s">
        <v>734</v>
      </c>
      <c r="D630" s="69" t="s">
        <v>30</v>
      </c>
      <c r="E630" s="592">
        <v>6</v>
      </c>
      <c r="F630" s="87">
        <v>0.36</v>
      </c>
      <c r="G630" s="82">
        <f>F630*E630</f>
        <v>2.16</v>
      </c>
    </row>
    <row r="631" spans="1:7">
      <c r="A631" s="639"/>
      <c r="B631" s="93"/>
      <c r="C631" s="68"/>
      <c r="D631" s="69"/>
      <c r="E631" s="641"/>
      <c r="F631" s="84"/>
      <c r="G631" s="84"/>
    </row>
    <row r="632" spans="1:7">
      <c r="A632" s="639"/>
      <c r="B632" s="64"/>
      <c r="C632" s="73" t="s">
        <v>594</v>
      </c>
      <c r="D632" s="73"/>
      <c r="E632" s="642"/>
      <c r="F632" s="643"/>
      <c r="G632" s="643">
        <f>SUM(G629:G630)</f>
        <v>772.56</v>
      </c>
    </row>
    <row r="633" spans="1:7">
      <c r="A633" s="639"/>
      <c r="B633" s="64"/>
      <c r="C633" s="73"/>
      <c r="D633" s="73"/>
      <c r="E633" s="642"/>
      <c r="F633" s="643"/>
      <c r="G633" s="643"/>
    </row>
    <row r="634" spans="1:7">
      <c r="A634" s="639"/>
      <c r="B634" s="64"/>
      <c r="C634" s="64" t="s">
        <v>595</v>
      </c>
      <c r="D634" s="64" t="s">
        <v>194</v>
      </c>
      <c r="E634" s="640" t="s">
        <v>591</v>
      </c>
      <c r="F634" s="640" t="s">
        <v>592</v>
      </c>
      <c r="G634" s="640" t="s">
        <v>593</v>
      </c>
    </row>
    <row r="635" spans="1:7" ht="24.75">
      <c r="A635" s="67" t="s">
        <v>188</v>
      </c>
      <c r="B635" s="85" t="s">
        <v>664</v>
      </c>
      <c r="C635" s="73" t="s">
        <v>201</v>
      </c>
      <c r="D635" s="69" t="s">
        <v>190</v>
      </c>
      <c r="E635" s="592">
        <v>1.5</v>
      </c>
      <c r="F635" s="70">
        <v>13.76</v>
      </c>
      <c r="G635" s="76">
        <f>+E635*F635</f>
        <v>20.64</v>
      </c>
    </row>
    <row r="636" spans="1:7">
      <c r="A636" s="644"/>
      <c r="B636" s="72"/>
      <c r="C636" s="73"/>
      <c r="D636" s="69"/>
      <c r="E636" s="610"/>
      <c r="F636" s="76"/>
      <c r="G636" s="76"/>
    </row>
    <row r="637" spans="1:7">
      <c r="A637" s="639"/>
      <c r="B637" s="64"/>
      <c r="C637" s="73" t="s">
        <v>673</v>
      </c>
      <c r="D637" s="69"/>
      <c r="E637" s="612"/>
      <c r="F637" s="70"/>
      <c r="G637" s="70">
        <f>SUM(G635:G635)</f>
        <v>20.64</v>
      </c>
    </row>
    <row r="638" spans="1:7">
      <c r="A638" s="639"/>
      <c r="B638" s="64"/>
      <c r="C638" s="73"/>
      <c r="D638" s="69"/>
      <c r="E638" s="612"/>
      <c r="F638" s="70"/>
      <c r="G638" s="70"/>
    </row>
    <row r="639" spans="1:7">
      <c r="A639" s="639"/>
      <c r="B639" s="64"/>
      <c r="C639" s="73" t="s">
        <v>597</v>
      </c>
      <c r="D639" s="73"/>
      <c r="E639" s="70"/>
      <c r="F639" s="70"/>
      <c r="G639" s="70">
        <f>SUM(G637:G637)</f>
        <v>20.64</v>
      </c>
    </row>
    <row r="640" spans="1:7">
      <c r="A640" s="639"/>
      <c r="B640" s="64"/>
      <c r="C640" s="73"/>
      <c r="D640" s="73"/>
      <c r="E640" s="642"/>
      <c r="F640" s="642"/>
      <c r="G640" s="642"/>
    </row>
    <row r="641" spans="1:7">
      <c r="A641" s="639"/>
      <c r="B641" s="64"/>
      <c r="C641" s="597" t="s">
        <v>598</v>
      </c>
      <c r="D641" s="64" t="s">
        <v>194</v>
      </c>
      <c r="E641" s="640" t="s">
        <v>591</v>
      </c>
      <c r="F641" s="640" t="s">
        <v>592</v>
      </c>
      <c r="G641" s="640" t="s">
        <v>593</v>
      </c>
    </row>
    <row r="642" spans="1:7">
      <c r="A642" s="639"/>
      <c r="B642" s="64"/>
      <c r="C642" s="68"/>
      <c r="D642" s="69"/>
      <c r="E642" s="599"/>
      <c r="F642" s="91"/>
      <c r="G642" s="91"/>
    </row>
    <row r="643" spans="1:7">
      <c r="A643" s="639"/>
      <c r="B643" s="64"/>
      <c r="C643" s="73" t="s">
        <v>599</v>
      </c>
      <c r="D643" s="73"/>
      <c r="E643" s="642"/>
      <c r="F643" s="642"/>
      <c r="G643" s="642">
        <f>SUM(G642:G642)</f>
        <v>0</v>
      </c>
    </row>
    <row r="644" spans="1:7">
      <c r="A644" s="639"/>
      <c r="B644" s="64"/>
      <c r="C644" s="73"/>
      <c r="D644" s="73"/>
      <c r="E644" s="642"/>
      <c r="F644" s="642"/>
      <c r="G644" s="642"/>
    </row>
    <row r="645" spans="1:7">
      <c r="A645" s="639"/>
      <c r="B645" s="64"/>
      <c r="C645" s="73" t="s">
        <v>605</v>
      </c>
      <c r="D645" s="73"/>
      <c r="E645" s="642"/>
      <c r="F645" s="642"/>
      <c r="G645" s="642">
        <f>G632+G639+G643</f>
        <v>793.19999999999993</v>
      </c>
    </row>
    <row r="646" spans="1:7">
      <c r="A646" s="639"/>
      <c r="B646" s="64"/>
      <c r="C646" s="597" t="s">
        <v>331</v>
      </c>
      <c r="D646" s="73"/>
      <c r="E646" s="76"/>
      <c r="F646" s="76"/>
      <c r="G646" s="600">
        <f>G645</f>
        <v>793.19999999999993</v>
      </c>
    </row>
    <row r="647" spans="1:7" s="61" customFormat="1">
      <c r="A647" s="672"/>
      <c r="B647" s="673"/>
      <c r="C647" s="674"/>
      <c r="D647" s="674"/>
      <c r="E647" s="674"/>
      <c r="F647" s="674"/>
      <c r="G647" s="675"/>
    </row>
    <row r="648" spans="1:7">
      <c r="A648" s="676"/>
      <c r="B648" s="579"/>
      <c r="C648" s="619"/>
      <c r="D648" s="619"/>
      <c r="E648" s="620"/>
      <c r="F648" s="620"/>
      <c r="G648" s="677"/>
    </row>
    <row r="649" spans="1:7">
      <c r="A649" s="676"/>
      <c r="B649" s="579"/>
      <c r="C649" s="619"/>
      <c r="D649" s="619"/>
      <c r="E649" s="620"/>
      <c r="F649" s="620"/>
      <c r="G649" s="677"/>
    </row>
    <row r="650" spans="1:7" s="61" customFormat="1">
      <c r="A650" s="671"/>
      <c r="B650" s="71"/>
    </row>
    <row r="651" spans="1:7" s="61" customFormat="1" ht="15" customHeight="1">
      <c r="A651" s="826" t="str">
        <f>RESUMO!C26</f>
        <v xml:space="preserve"> Moreno, março de 2016</v>
      </c>
      <c r="B651" s="826"/>
      <c r="C651" s="826"/>
      <c r="D651" s="826"/>
      <c r="E651" s="826"/>
      <c r="F651" s="826"/>
      <c r="G651" s="826"/>
    </row>
    <row r="652" spans="1:7" s="61" customFormat="1">
      <c r="A652" s="671"/>
      <c r="B652" s="71"/>
    </row>
    <row r="653" spans="1:7" s="61" customFormat="1" ht="15" customHeight="1">
      <c r="A653" s="827" t="s">
        <v>255</v>
      </c>
      <c r="B653" s="827"/>
      <c r="C653" s="827"/>
      <c r="D653" s="827"/>
      <c r="E653" s="827"/>
      <c r="F653" s="827"/>
      <c r="G653" s="827"/>
    </row>
    <row r="654" spans="1:7" s="61" customFormat="1" ht="15" customHeight="1">
      <c r="A654" s="824" t="s">
        <v>256</v>
      </c>
      <c r="B654" s="824"/>
      <c r="C654" s="824"/>
      <c r="D654" s="824"/>
      <c r="E654" s="824"/>
      <c r="F654" s="824"/>
      <c r="G654" s="824"/>
    </row>
    <row r="655" spans="1:7" s="61" customFormat="1" ht="15" customHeight="1">
      <c r="A655" s="824" t="s">
        <v>257</v>
      </c>
      <c r="B655" s="824"/>
      <c r="C655" s="824"/>
      <c r="D655" s="824"/>
      <c r="E655" s="824"/>
      <c r="F655" s="824"/>
      <c r="G655" s="824"/>
    </row>
  </sheetData>
  <sheetProtection selectLockedCells="1" selectUnlockedCells="1"/>
  <mergeCells count="7">
    <mergeCell ref="A655:G655"/>
    <mergeCell ref="A2:G2"/>
    <mergeCell ref="A3:G3"/>
    <mergeCell ref="A5:G5"/>
    <mergeCell ref="A651:G651"/>
    <mergeCell ref="A653:G653"/>
    <mergeCell ref="A654:G654"/>
  </mergeCells>
  <printOptions horizontalCentered="1"/>
  <pageMargins left="0.51180555555555551" right="0" top="0.39374999999999999" bottom="0.78749999999999998" header="0.51180555555555551" footer="0.31527777777777777"/>
  <pageSetup paperSize="9" scale="60" firstPageNumber="0" orientation="portrait" horizontalDpi="300" verticalDpi="300" r:id="rId1"/>
  <headerFooter alignWithMargins="0">
    <oddFooter>&amp;L&amp;A&amp;CPágina &amp;P de &amp;N&amp;R&amp;8Antônio Nunes da Silva Filho
Eng. Civil - CREA 16.122 - D/PE</oddFooter>
  </headerFooter>
  <rowBreaks count="5" manualBreakCount="5">
    <brk id="85" max="16383" man="1"/>
    <brk id="162" max="16383" man="1"/>
    <brk id="241" max="16383" man="1"/>
    <brk id="321" max="16383" man="1"/>
    <brk id="60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showGridLines="0" view="pageBreakPreview" topLeftCell="A42" zoomScale="85" zoomScaleNormal="90" zoomScaleSheetLayoutView="85" workbookViewId="0">
      <selection activeCell="A47" sqref="A47"/>
    </sheetView>
  </sheetViews>
  <sheetFormatPr defaultRowHeight="15"/>
  <cols>
    <col min="1" max="1" width="11" style="217" customWidth="1"/>
    <col min="2" max="2" width="18.5703125" style="678" customWidth="1"/>
    <col min="3" max="3" width="13.28515625" style="217" customWidth="1"/>
    <col min="4" max="4" width="70.5703125" style="679" customWidth="1"/>
    <col min="5" max="5" width="7.28515625" style="217" customWidth="1"/>
    <col min="6" max="6" width="18.85546875" style="217" customWidth="1"/>
    <col min="7" max="7" width="9.140625" customWidth="1"/>
    <col min="8" max="8" width="12.140625" customWidth="1"/>
  </cols>
  <sheetData>
    <row r="1" spans="1:9">
      <c r="B1" s="680"/>
      <c r="C1" s="96"/>
      <c r="D1" s="681"/>
      <c r="E1" s="96"/>
      <c r="F1" s="96"/>
    </row>
    <row r="3" spans="1:9">
      <c r="A3" s="765" t="s">
        <v>735</v>
      </c>
      <c r="B3" s="765"/>
      <c r="C3" s="765"/>
      <c r="D3" s="765"/>
      <c r="E3" s="765"/>
      <c r="F3" s="765"/>
    </row>
    <row r="4" spans="1:9">
      <c r="B4" s="682"/>
      <c r="C4" s="98"/>
      <c r="D4" s="683"/>
      <c r="E4" s="98"/>
      <c r="F4" s="98"/>
    </row>
    <row r="5" spans="1:9">
      <c r="B5" s="682"/>
      <c r="C5" s="98"/>
      <c r="D5" s="683"/>
      <c r="E5" s="98"/>
      <c r="F5" s="98"/>
    </row>
    <row r="6" spans="1:9" ht="15" customHeight="1">
      <c r="A6" s="684" t="s">
        <v>259</v>
      </c>
      <c r="B6" s="828" t="str">
        <f>'ANEXO XVII- MEMORIA DE CALCULO'!B3</f>
        <v>Construção dos pórticos de acesso a cidade de Moreno</v>
      </c>
      <c r="C6" s="828"/>
      <c r="D6" s="828"/>
      <c r="E6" s="829" t="s">
        <v>736</v>
      </c>
      <c r="F6" s="829"/>
      <c r="G6" s="102"/>
    </row>
    <row r="7" spans="1:9">
      <c r="A7" s="130" t="s">
        <v>261</v>
      </c>
      <c r="B7" s="685" t="str">
        <f>'ANEXO XVII- MEMORIA DE CALCULO'!B4</f>
        <v>Moreno - PE</v>
      </c>
      <c r="D7" s="100"/>
      <c r="E7" s="830">
        <f ca="1">'ANEXO XVII- MEMORIA DE CALCULO'!G4</f>
        <v>45054</v>
      </c>
      <c r="F7" s="830"/>
      <c r="G7" s="686"/>
    </row>
    <row r="8" spans="1:9">
      <c r="B8" s="684"/>
      <c r="C8" s="687"/>
      <c r="D8" s="688"/>
      <c r="E8" s="689"/>
      <c r="F8" s="137"/>
    </row>
    <row r="9" spans="1:9" ht="15" customHeight="1">
      <c r="A9" s="831" t="s">
        <v>0</v>
      </c>
      <c r="B9" s="831" t="s">
        <v>262</v>
      </c>
      <c r="C9" s="831" t="s">
        <v>263</v>
      </c>
      <c r="D9" s="832" t="s">
        <v>264</v>
      </c>
      <c r="E9" s="831" t="s">
        <v>265</v>
      </c>
      <c r="F9" s="833" t="s">
        <v>266</v>
      </c>
      <c r="H9" s="690">
        <v>1</v>
      </c>
      <c r="I9" s="691" t="s">
        <v>269</v>
      </c>
    </row>
    <row r="10" spans="1:9">
      <c r="A10" s="831"/>
      <c r="B10" s="831"/>
      <c r="C10" s="831"/>
      <c r="D10" s="832"/>
      <c r="E10" s="831"/>
      <c r="F10" s="833"/>
      <c r="H10" s="690"/>
      <c r="I10" s="692">
        <v>0.28000000000000003</v>
      </c>
    </row>
    <row r="11" spans="1:9">
      <c r="A11" s="141" t="s">
        <v>6</v>
      </c>
      <c r="B11" s="693"/>
      <c r="C11" s="141"/>
      <c r="D11" s="694" t="str">
        <f>VLOOKUP($A11,'ANEXO XVII- MEMORIA DE CALCULO'!$A$1:$P8694,3,0)</f>
        <v>ADMINISTRAÇÃO DA OBRA</v>
      </c>
      <c r="E11" s="141"/>
      <c r="F11" s="141"/>
    </row>
    <row r="12" spans="1:9">
      <c r="A12" s="695" t="s">
        <v>8</v>
      </c>
      <c r="B12" s="696" t="s">
        <v>14</v>
      </c>
      <c r="C12" s="697" t="str">
        <f>VLOOKUP($A12,'ANEXO XVII- MEMORIA DE CALCULO'!$A$1:$P8713,2,0)</f>
        <v>CPU 01</v>
      </c>
      <c r="D12" s="698" t="str">
        <f>VLOOKUP($A12,'ANEXO XVII- MEMORIA DE CALCULO'!$A$1:$P8713,3,0)</f>
        <v xml:space="preserve">ADMINISTRAÇÃO LOCAL DA OBRA </v>
      </c>
      <c r="E12" s="699" t="str">
        <f>VLOOKUP($A12,'ANEXO XVII- MEMORIA DE CALCULO'!$A$1:$P8713,4,0)</f>
        <v>MÊS</v>
      </c>
      <c r="F12" s="700">
        <f>VLOOKUP($A12,'ANEXO XVII- MEMORIA DE CALCULO'!$A$1:$P8686,9,0)</f>
        <v>4</v>
      </c>
    </row>
    <row r="13" spans="1:9">
      <c r="A13" s="695"/>
      <c r="B13" s="696"/>
      <c r="C13" s="697"/>
      <c r="D13" s="698"/>
      <c r="E13" s="699"/>
      <c r="F13" s="700"/>
    </row>
    <row r="14" spans="1:9">
      <c r="A14" s="701" t="s">
        <v>11</v>
      </c>
      <c r="B14" s="693"/>
      <c r="C14" s="702"/>
      <c r="D14" s="694" t="str">
        <f>VLOOKUP($A14,'ANEXO XVII- MEMORIA DE CALCULO'!$A$1:$P8697,3,0)</f>
        <v>SERVIÇOS PRELIMINARES</v>
      </c>
      <c r="E14" s="703"/>
      <c r="F14" s="704"/>
    </row>
    <row r="15" spans="1:9" ht="24">
      <c r="A15" s="695" t="s">
        <v>13</v>
      </c>
      <c r="B15" s="696" t="s">
        <v>14</v>
      </c>
      <c r="C15" s="697" t="str">
        <f>VLOOKUP($A15,'ANEXO XVII- MEMORIA DE CALCULO'!$A$1:$P8714,2,0)</f>
        <v>74210/001</v>
      </c>
      <c r="D15" s="698" t="str">
        <f>VLOOKUP($A15,'ANEXO XVII- MEMORIA DE CALCULO'!$A$1:$P8714,3,0)</f>
        <v>BARRACAO PARA DEPOSITO EM TABUAS DE MADEIRA, COBERTURA EM FIBROCIMENTO 4 MM, INCLUSO PISO ARGAMASSA TRAÇO 1:6 (CIMENTO E AREIA)</v>
      </c>
      <c r="E15" s="699" t="str">
        <f>VLOOKUP($A15,'ANEXO XVII- MEMORIA DE CALCULO'!$A$1:$P8714,4,0)</f>
        <v>M2</v>
      </c>
      <c r="F15" s="700">
        <f>VLOOKUP($A15,'ANEXO XVII- MEMORIA DE CALCULO'!$A$1:$P8687,9,0)</f>
        <v>12</v>
      </c>
    </row>
    <row r="16" spans="1:9" ht="36">
      <c r="A16" s="695" t="s">
        <v>18</v>
      </c>
      <c r="B16" s="696" t="s">
        <v>14</v>
      </c>
      <c r="C16" s="697" t="str">
        <f>VLOOKUP($A16,'ANEXO XVII- MEMORIA DE CALCULO'!$A$1:$P8717,2,0)</f>
        <v>73805/001</v>
      </c>
      <c r="D16" s="698" t="str">
        <f>VLOOKUP($A16,'ANEXO XVII- MEMORIA DE CALCULO'!$A$1:$P8717,3,0)</f>
        <v>BARRACAO DE OBRA PARA ALOJAMENTO/ESCRITORIO, PISO EM PINHO 3A, PAREDES EM COMPENSADO 10MM, COBERTURA EM TELHA AMIANTO 6MM, INCLUSO INSTALACOES ELETRICAS E ESQUADRIAS</v>
      </c>
      <c r="E16" s="699" t="str">
        <f>VLOOKUP($A16,'ANEXO XVII- MEMORIA DE CALCULO'!$A$1:$P8717,4,0)</f>
        <v>M2</v>
      </c>
      <c r="F16" s="700">
        <f>VLOOKUP($A16,'ANEXO XVII- MEMORIA DE CALCULO'!$A$1:$P8690,9,0)</f>
        <v>9</v>
      </c>
    </row>
    <row r="17" spans="1:6" ht="48">
      <c r="A17" s="695" t="s">
        <v>21</v>
      </c>
      <c r="B17" s="696" t="s">
        <v>14</v>
      </c>
      <c r="C17" s="697" t="str">
        <f>VLOOKUP($A17,'ANEXO XVII- MEMORIA DE CALCULO'!$A$1:$P8719,2,0)</f>
        <v>73752/001</v>
      </c>
      <c r="D17" s="698" t="str">
        <f>VLOOKUP($A17,'ANEXO XVII- MEMORIA DE CALCULO'!$A$1:$P8719,3,0)</f>
        <v>SANITARIO COM VASO E CHUVEIRO PARA PESSOAL DE OBRA, COLETIVO DE 2 MODULOS E 4M2, PAREDES CHAPAS DE MADEIRA COMPENSADA PLASTIFICADA 10MM, TELHAS ONDULADAS DE 6MM DE FIBROCIMENTO, INCLUSIVE INSTALACAO E APARELHOS, REAPROVEITADO 2 VEZES (INSTALACOES E APARE</v>
      </c>
      <c r="E17" s="699" t="str">
        <f>VLOOKUP($A17,'ANEXO XVII- MEMORIA DE CALCULO'!$A$1:$P8719,4,0)</f>
        <v>UN</v>
      </c>
      <c r="F17" s="700">
        <f>VLOOKUP($A17,'ANEXO XVII- MEMORIA DE CALCULO'!$A$1:$P8692,9,0)</f>
        <v>1</v>
      </c>
    </row>
    <row r="18" spans="1:6" ht="24">
      <c r="A18" s="695" t="s">
        <v>24</v>
      </c>
      <c r="B18" s="696" t="s">
        <v>14</v>
      </c>
      <c r="C18" s="697" t="str">
        <f>VLOOKUP($A18,'ANEXO XVII- MEMORIA DE CALCULO'!$A$1:$P8720,2,0)</f>
        <v>73960/001</v>
      </c>
      <c r="D18" s="698" t="str">
        <f>VLOOKUP($A18,'ANEXO XVII- MEMORIA DE CALCULO'!$A$1:$P8720,3,0)</f>
        <v>INSTAL/LIGACAO PROVISORIA ELETRICA BAIXA TENSAO P/CANT OBRA OBRA,M3-CHAVE 100A CARGA 3KWH,20CV EXCL FORN MEDIDOR</v>
      </c>
      <c r="E18" s="699" t="str">
        <f>VLOOKUP($A18,'ANEXO XVII- MEMORIA DE CALCULO'!$A$1:$P8720,4,0)</f>
        <v>UN</v>
      </c>
      <c r="F18" s="700">
        <f>VLOOKUP($A18,'ANEXO XVII- MEMORIA DE CALCULO'!$A$1:$P8693,9,0)</f>
        <v>1</v>
      </c>
    </row>
    <row r="19" spans="1:6" ht="48">
      <c r="A19" s="695" t="s">
        <v>27</v>
      </c>
      <c r="B19" s="696" t="s">
        <v>14</v>
      </c>
      <c r="C19" s="697" t="str">
        <f>VLOOKUP($A19,'ANEXO XVII- MEMORIA DE CALCULO'!$A$1:$P8721,2,0)</f>
        <v>CPU 1.007</v>
      </c>
      <c r="D19" s="698" t="str">
        <f>VLOOKUP($A19,'ANEXO XVII- MEMORIA DE CALCULO'!$A$1:$P8721,3,0)</f>
        <v>LIGAÇÃO DOMICILIAR DE ÁGUA, DA REDE AO HIDRÔMETRO, COMPOSTO POR COLAR DE TOMADA DE PVC COM TRAVAS DE 50MMX1/2, ADAPTADOR PVC SOLDÁVEL/ROSCA 20MMX1/2, TUBO PVC SOLDÁVEL ÁGUA FRIA 20MM E REGISTRO DE PVC ESFERA ROSCÁVEL 1/2 - FORNECIMENTO E INSTALAÇÃO</v>
      </c>
      <c r="E19" s="699" t="str">
        <f>VLOOKUP($A19,'ANEXO XVII- MEMORIA DE CALCULO'!$A$1:$P8721,4,0)</f>
        <v>UN</v>
      </c>
      <c r="F19" s="700">
        <f>VLOOKUP($A19,'ANEXO XVII- MEMORIA DE CALCULO'!$A$1:$P8694,9,0)</f>
        <v>1</v>
      </c>
    </row>
    <row r="20" spans="1:6" ht="48">
      <c r="A20" s="695" t="s">
        <v>31</v>
      </c>
      <c r="B20" s="696" t="s">
        <v>14</v>
      </c>
      <c r="C20" s="697" t="str">
        <f>VLOOKUP($A20,'ANEXO XVII- MEMORIA DE CALCULO'!$A$1:$P8722,2,0)</f>
        <v>73784/001</v>
      </c>
      <c r="D20" s="698" t="str">
        <f>VLOOKUP($A20,'ANEXO XVII- MEMORIA DE CALCULO'!$A$1:$P8722,3,0)</f>
        <v xml:space="preserve">LIGAÇÃO DE ESGOTO EM TUBO PVC ESGOTO SÉRIE-R DN 100MM, DA CAIXA ATÉ A REDE, INCLUINDO ESCAVAÇÃO E REATERRO ATÉ 1,00M, COMPOSTO POR 10,50M DE TUBO PVC SÉRIE-R ESGOTO DN 100MM, JUNÇÃO SIMPLES PVC PARA ESGOTO PREDIAL DN 100X100MM E CURVA PVC 90 GRAUS </v>
      </c>
      <c r="E20" s="699" t="str">
        <f>VLOOKUP($A20,'ANEXO XVII- MEMORIA DE CALCULO'!$A$1:$P8722,4,0)</f>
        <v>UN</v>
      </c>
      <c r="F20" s="700">
        <f>VLOOKUP($A20,'ANEXO XVII- MEMORIA DE CALCULO'!$A$1:$P8695,9,0)</f>
        <v>1</v>
      </c>
    </row>
    <row r="21" spans="1:6">
      <c r="A21" s="695" t="s">
        <v>34</v>
      </c>
      <c r="B21" s="696" t="s">
        <v>275</v>
      </c>
      <c r="C21" s="697" t="str">
        <f>VLOOKUP($A21,'ANEXO XVII- MEMORIA DE CALCULO'!$A$1:$P8723,2,0)</f>
        <v>74209/001</v>
      </c>
      <c r="D21" s="698" t="str">
        <f>VLOOKUP($A21,'ANEXO XVII- MEMORIA DE CALCULO'!$A$1:$P8723,3,0)</f>
        <v>PLACA DE OBRA EM CHAPA DE ACO GALVANIZADO</v>
      </c>
      <c r="E21" s="699" t="str">
        <f>VLOOKUP($A21,'ANEXO XVII- MEMORIA DE CALCULO'!$A$1:$P8723,4,0)</f>
        <v>M2</v>
      </c>
      <c r="F21" s="700">
        <f>VLOOKUP($A21,'ANEXO XVII- MEMORIA DE CALCULO'!$A$1:$P8696,9,0)</f>
        <v>20</v>
      </c>
    </row>
    <row r="22" spans="1:6" ht="24">
      <c r="A22" s="695" t="s">
        <v>36</v>
      </c>
      <c r="B22" s="696" t="s">
        <v>14</v>
      </c>
      <c r="C22" s="697" t="str">
        <f>VLOOKUP($A22,'ANEXO XVII- MEMORIA DE CALCULO'!$A$1:$P8724,2,0)</f>
        <v>74220/001</v>
      </c>
      <c r="D22" s="698" t="str">
        <f>VLOOKUP($A22,'ANEXO XVII- MEMORIA DE CALCULO'!$A$1:$P8724,3,0)</f>
        <v>TAPUME DE CHAPA DE MADEIRA COMPENSADA, E= 6MM, COM PINTURA A CAL E REAPROVEITAMENTO DE 2X</v>
      </c>
      <c r="E22" s="699" t="str">
        <f>VLOOKUP($A22,'ANEXO XVII- MEMORIA DE CALCULO'!$A$1:$P8724,4,0)</f>
        <v>M2</v>
      </c>
      <c r="F22" s="700">
        <f>VLOOKUP($A22,'ANEXO XVII- MEMORIA DE CALCULO'!$A$1:$P8697,9,0)</f>
        <v>369.28500000000003</v>
      </c>
    </row>
    <row r="23" spans="1:6">
      <c r="A23" s="695" t="s">
        <v>39</v>
      </c>
      <c r="B23" s="696" t="s">
        <v>14</v>
      </c>
      <c r="C23" s="697" t="str">
        <f>VLOOKUP($A23,'ANEXO XVII- MEMORIA DE CALCULO'!$A$1:$P8725,2,0)</f>
        <v>73948/016</v>
      </c>
      <c r="D23" s="698" t="str">
        <f>VLOOKUP($A23,'ANEXO XVII- MEMORIA DE CALCULO'!$A$1:$P8725,3,0)</f>
        <v>LIMPEZA MANUAL DO TERRENO (C/ RASPAGEM SUPERFICIAL)</v>
      </c>
      <c r="E23" s="699" t="str">
        <f>VLOOKUP($A23,'ANEXO XVII- MEMORIA DE CALCULO'!$A$1:$P8725,4,0)</f>
        <v>M2</v>
      </c>
      <c r="F23" s="700">
        <f>VLOOKUP($A23,'ANEXO XVII- MEMORIA DE CALCULO'!$A$1:$P8698,9,0)</f>
        <v>317.6472</v>
      </c>
    </row>
    <row r="24" spans="1:6">
      <c r="A24" s="695" t="s">
        <v>42</v>
      </c>
      <c r="B24" s="696" t="s">
        <v>14</v>
      </c>
      <c r="C24" s="697" t="e">
        <f>VLOOKUP($A24,'ANEXO XVII- MEMORIA DE CALCULO'!$A$1:$P8726,2,0)</f>
        <v>#N/A</v>
      </c>
      <c r="D24" s="698" t="e">
        <f>VLOOKUP($A24,'ANEXO XVII- MEMORIA DE CALCULO'!$A$1:$P8726,3,0)</f>
        <v>#N/A</v>
      </c>
      <c r="E24" s="699" t="e">
        <f>VLOOKUP($A24,'ANEXO XVII- MEMORIA DE CALCULO'!$A$1:$P8726,4,0)</f>
        <v>#N/A</v>
      </c>
      <c r="F24" s="700" t="e">
        <f>VLOOKUP($A24,'ANEXO XVII- MEMORIA DE CALCULO'!$A$1:$P8699,9,0)</f>
        <v>#N/A</v>
      </c>
    </row>
    <row r="25" spans="1:6">
      <c r="A25" s="705"/>
      <c r="B25" s="706"/>
      <c r="C25" s="707"/>
      <c r="D25" s="708"/>
      <c r="E25" s="709"/>
      <c r="F25" s="710"/>
    </row>
    <row r="26" spans="1:6">
      <c r="A26" s="701" t="s">
        <v>44</v>
      </c>
      <c r="B26" s="693"/>
      <c r="C26" s="702"/>
      <c r="D26" s="694" t="str">
        <f>VLOOKUP($A26,'ANEXO XVII- MEMORIA DE CALCULO'!$A$1:$P8709,3,0)</f>
        <v>FECHAMENTO, LIMPEZA, DEMOLIÇÕES E RETIRADAS</v>
      </c>
      <c r="E26" s="703"/>
      <c r="F26" s="704"/>
    </row>
    <row r="27" spans="1:6">
      <c r="A27" s="711" t="s">
        <v>46</v>
      </c>
      <c r="B27" s="696" t="s">
        <v>14</v>
      </c>
      <c r="C27" s="712" t="str">
        <f>VLOOKUP($A27,'ANEXO XVII- MEMORIA DE CALCULO'!$A$1:$P8709,2,0)</f>
        <v>CPU 02.001</v>
      </c>
      <c r="D27" s="713" t="str">
        <f>VLOOKUP($A27,'ANEXO XVII- MEMORIA DE CALCULO'!$A$1:$P8709,3,0)</f>
        <v>DEMOLIÇÃO DE PISO CIMENTADO, INCLUSIVE LASTRO DE CONCRETO</v>
      </c>
      <c r="E27" s="714" t="str">
        <f>VLOOKUP($A27,'ANEXO XVII- MEMORIA DE CALCULO'!$A$1:$P8709,4,0)</f>
        <v>M2</v>
      </c>
      <c r="F27" s="700">
        <f>VLOOKUP($A27,'ANEXO XVII- MEMORIA DE CALCULO'!$A$1:$P8709,9,0)</f>
        <v>690.94999999999993</v>
      </c>
    </row>
    <row r="28" spans="1:6">
      <c r="A28" s="715"/>
      <c r="B28" s="716"/>
      <c r="C28" s="717"/>
      <c r="D28" s="718"/>
      <c r="E28" s="719"/>
      <c r="F28" s="720"/>
    </row>
    <row r="29" spans="1:6">
      <c r="A29" s="701" t="s">
        <v>48</v>
      </c>
      <c r="B29" s="693"/>
      <c r="C29" s="702"/>
      <c r="D29" s="694" t="str">
        <f>VLOOKUP($A29,'ANEXO XVII- MEMORIA DE CALCULO'!$A$1:$P8722,3,0)</f>
        <v>MOVIMENTO DE TERRA</v>
      </c>
      <c r="E29" s="703"/>
      <c r="F29" s="704"/>
    </row>
    <row r="30" spans="1:6" s="278" customFormat="1">
      <c r="A30" s="711" t="s">
        <v>50</v>
      </c>
      <c r="B30" s="696" t="s">
        <v>14</v>
      </c>
      <c r="C30" s="712" t="str">
        <f>VLOOKUP($A30,'ANEXO XVII- MEMORIA DE CALCULO'!$A$1:$P8722,2,0)</f>
        <v>79517/001</v>
      </c>
      <c r="D30" s="713" t="str">
        <f>VLOOKUP($A30,'ANEXO XVII- MEMORIA DE CALCULO'!$A$1:$P8722,3,0)</f>
        <v>ESCAVACAO MANUAL EM SOLO-PROF. ATE 1,50 M</v>
      </c>
      <c r="E30" s="714" t="str">
        <f>VLOOKUP($A30,'ANEXO XVII- MEMORIA DE CALCULO'!$A$1:$P8722,4,0)</f>
        <v>M3</v>
      </c>
      <c r="F30" s="700">
        <f>VLOOKUP($A30,'ANEXO XVII- MEMORIA DE CALCULO'!$A$1:$P8722,9,0)</f>
        <v>174.92250000000001</v>
      </c>
    </row>
    <row r="31" spans="1:6" s="278" customFormat="1">
      <c r="A31" s="695" t="s">
        <v>54</v>
      </c>
      <c r="B31" s="696" t="s">
        <v>14</v>
      </c>
      <c r="C31" s="697" t="str">
        <f>VLOOKUP($A31,'ANEXO XVII- MEMORIA DE CALCULO'!$A$1:$P8723,2,0)</f>
        <v>79517/002</v>
      </c>
      <c r="D31" s="698" t="str">
        <f>VLOOKUP($A31,'ANEXO XVII- MEMORIA DE CALCULO'!$A$1:$P8723,3,0)</f>
        <v>ESCAVACAO MANUAL EM SOLO, PROF. MAIOR QUE 1,5M ATE 4,00 M</v>
      </c>
      <c r="E31" s="699" t="str">
        <f>VLOOKUP($A31,'ANEXO XVII- MEMORIA DE CALCULO'!$A$1:$P8723,4,0)</f>
        <v>M3</v>
      </c>
      <c r="F31" s="721">
        <f>VLOOKUP($A31,'ANEXO XVII- MEMORIA DE CALCULO'!$A$1:$P8723,9,0)</f>
        <v>64.138249999999999</v>
      </c>
    </row>
    <row r="32" spans="1:6" s="278" customFormat="1" ht="24">
      <c r="A32" s="695" t="s">
        <v>57</v>
      </c>
      <c r="B32" s="696" t="s">
        <v>14</v>
      </c>
      <c r="C32" s="697" t="str">
        <f>VLOOKUP($A32,'ANEXO XVII- MEMORIA DE CALCULO'!$A$1:$P8723,2,0)</f>
        <v>73964/004</v>
      </c>
      <c r="D32" s="698" t="str">
        <f>VLOOKUP($A32,'ANEXO XVII- MEMORIA DE CALCULO'!$A$1:$P8723,3,0)</f>
        <v>REATERRO DE VALAS / CAVAS, COMPACTADA A MAÇO, EM CAMADAS DE ATÉ 30 CM.</v>
      </c>
      <c r="E32" s="699" t="str">
        <f>VLOOKUP($A32,'ANEXO XVII- MEMORIA DE CALCULO'!$A$1:$P8723,4,0)</f>
        <v>M3</v>
      </c>
      <c r="F32" s="721">
        <f>VLOOKUP($A32,'ANEXO XVII- MEMORIA DE CALCULO'!$A$1:$P8723,9,0)</f>
        <v>197.63000000000002</v>
      </c>
    </row>
    <row r="33" spans="1:6">
      <c r="A33" s="715"/>
      <c r="B33" s="716"/>
      <c r="C33" s="722"/>
      <c r="D33" s="723"/>
      <c r="E33" s="724"/>
      <c r="F33" s="725"/>
    </row>
    <row r="34" spans="1:6">
      <c r="A34" s="701" t="s">
        <v>60</v>
      </c>
      <c r="B34" s="693"/>
      <c r="C34" s="702"/>
      <c r="D34" s="694" t="str">
        <f>VLOOKUP($A34,'ANEXO XVII- MEMORIA DE CALCULO'!$A$1:$P8726,3,0)</f>
        <v>CARGA E TRANSPORTE DE MATERIAIS</v>
      </c>
      <c r="E34" s="703"/>
      <c r="F34" s="704"/>
    </row>
    <row r="35" spans="1:6" s="217" customFormat="1">
      <c r="A35" s="695" t="s">
        <v>62</v>
      </c>
      <c r="B35" s="696" t="s">
        <v>14</v>
      </c>
      <c r="C35" s="697" t="str">
        <f>VLOOKUP($A35,'ANEXO XVII- MEMORIA DE CALCULO'!$A$1:$P8730,2,0)</f>
        <v>74023/001</v>
      </c>
      <c r="D35" s="698" t="str">
        <f>VLOOKUP($A35,'ANEXO XVII- MEMORIA DE CALCULO'!$A$1:$P8730,3,0)</f>
        <v>TRANSPORTE HORIZONTAL DE MATERIAIS DIVERSOS A 30M</v>
      </c>
      <c r="E35" s="699" t="str">
        <f>VLOOKUP($A35,'ANEXO XVII- MEMORIA DE CALCULO'!$A$1:$P8730,4,0)</f>
        <v>M3</v>
      </c>
      <c r="F35" s="721">
        <f>VLOOKUP($A35,'ANEXO XVII- MEMORIA DE CALCULO'!$A$1:$P8730,9,0)</f>
        <v>361.70238749999999</v>
      </c>
    </row>
    <row r="36" spans="1:6" s="217" customFormat="1">
      <c r="A36" s="695" t="s">
        <v>65</v>
      </c>
      <c r="B36" s="696" t="s">
        <v>14</v>
      </c>
      <c r="C36" s="697" t="str">
        <f>VLOOKUP($A36,'ANEXO XVII- MEMORIA DE CALCULO'!$A$1:$P8731,2,0)</f>
        <v>72896</v>
      </c>
      <c r="D36" s="698" t="str">
        <f>VLOOKUP($A36,'ANEXO XVII- MEMORIA DE CALCULO'!$A$1:$P8731,3,0)</f>
        <v>CARGA MANUAL DE TERRA EM CAMINHAO BASCULANTE 6 M3</v>
      </c>
      <c r="E36" s="699" t="str">
        <f>VLOOKUP($A36,'ANEXO XVII- MEMORIA DE CALCULO'!$A$1:$P8731,4,0)</f>
        <v>M3</v>
      </c>
      <c r="F36" s="721">
        <f>VLOOKUP($A36,'ANEXO XVII- MEMORIA DE CALCULO'!$A$1:$P8731,9,0)</f>
        <v>239.06075000000001</v>
      </c>
    </row>
    <row r="37" spans="1:6" s="217" customFormat="1">
      <c r="A37" s="695" t="s">
        <v>68</v>
      </c>
      <c r="B37" s="696" t="s">
        <v>14</v>
      </c>
      <c r="C37" s="697">
        <f>VLOOKUP($A37,'ANEXO XVII- MEMORIA DE CALCULO'!$A$1:$P8732,2,0)</f>
        <v>72897</v>
      </c>
      <c r="D37" s="698" t="str">
        <f>VLOOKUP($A37,'ANEXO XVII- MEMORIA DE CALCULO'!$A$1:$P8732,3,0)</f>
        <v>CARGA MANUAL DE ENTULHO EM CAMINHAO BASCULANTE 6 M3</v>
      </c>
      <c r="E37" s="699" t="str">
        <f>VLOOKUP($A37,'ANEXO XVII- MEMORIA DE CALCULO'!$A$1:$P8732,4,0)</f>
        <v>M3</v>
      </c>
      <c r="F37" s="721">
        <f>VLOOKUP($A37,'ANEXO XVII- MEMORIA DE CALCULO'!$A$1:$P8732,9,0)</f>
        <v>62.876450000000006</v>
      </c>
    </row>
    <row r="38" spans="1:6" s="217" customFormat="1" ht="24">
      <c r="A38" s="695" t="s">
        <v>70</v>
      </c>
      <c r="B38" s="696" t="s">
        <v>14</v>
      </c>
      <c r="C38" s="697">
        <f>VLOOKUP($A38,'ANEXO XVII- MEMORIA DE CALCULO'!$A$1:$P8733,2,0)</f>
        <v>72843</v>
      </c>
      <c r="D38" s="698" t="str">
        <f>VLOOKUP($A38,'ANEXO XVII- MEMORIA DE CALCULO'!$A$1:$P8733,3,0)</f>
        <v xml:space="preserve">TRANSPORTE COMERCIAL COM CAMINHAO BASCULANTE 6 M3, RODOVIA PAVIMENTADA  </v>
      </c>
      <c r="E38" s="699" t="str">
        <f>VLOOKUP($A38,'ANEXO XVII- MEMORIA DE CALCULO'!$A$1:$P8733,4,0)</f>
        <v>M3xKM</v>
      </c>
      <c r="F38" s="721">
        <f>VLOOKUP($A38,'ANEXO XVII- MEMORIA DE CALCULO'!$A$1:$P8733,9,0)</f>
        <v>6691.4941687500004</v>
      </c>
    </row>
    <row r="39" spans="1:6" s="217" customFormat="1" ht="24">
      <c r="A39" s="695" t="s">
        <v>76</v>
      </c>
      <c r="B39" s="696" t="s">
        <v>236</v>
      </c>
      <c r="C39" s="697" t="str">
        <f>VLOOKUP($A39,'ANEXO XVII- MEMORIA DE CALCULO'!$A$1:$P8734,2,0)</f>
        <v>COT 01</v>
      </c>
      <c r="D39" s="698" t="str">
        <f>VLOOKUP($A39,'ANEXO XVII- MEMORIA DE CALCULO'!$A$1:$P8734,3,0)</f>
        <v>DEPÓSITO DE RESÍDUO (DESTINO FINAL) EM LOCAL LICENCIADO  - CLASSE II A - MATERIAL DE ESCAVAÇÃO (1ª CATEGORIA)</v>
      </c>
      <c r="E39" s="699" t="str">
        <f>VLOOKUP($A39,'ANEXO XVII- MEMORIA DE CALCULO'!$A$1:$P8734,4,0)</f>
        <v>T</v>
      </c>
      <c r="F39" s="721">
        <f>VLOOKUP($A39,'ANEXO XVII- MEMORIA DE CALCULO'!$A$1:$P8734,9,0)</f>
        <v>382.49720000000002</v>
      </c>
    </row>
    <row r="40" spans="1:6" s="217" customFormat="1" ht="24">
      <c r="A40" s="695" t="s">
        <v>80</v>
      </c>
      <c r="B40" s="696" t="s">
        <v>236</v>
      </c>
      <c r="C40" s="697" t="str">
        <f>VLOOKUP($A40,'ANEXO XVII- MEMORIA DE CALCULO'!$A$1:$P8735,2,0)</f>
        <v>COT  02</v>
      </c>
      <c r="D40" s="698" t="str">
        <f>VLOOKUP($A40,'ANEXO XVII- MEMORIA DE CALCULO'!$A$1:$P8735,3,0)</f>
        <v>DEPÓSITO DE RESÍDUO (DESTINO FINAL) EM LOCAL LICENCIADO  - CLASSE II B - ENTULHO</v>
      </c>
      <c r="E40" s="699" t="str">
        <f>VLOOKUP($A40,'ANEXO XVII- MEMORIA DE CALCULO'!$A$1:$P8735,4,0)</f>
        <v>T</v>
      </c>
      <c r="F40" s="721">
        <f>VLOOKUP($A40,'ANEXO XVII- MEMORIA DE CALCULO'!$A$1:$P8735,9,0)</f>
        <v>67.713099999999997</v>
      </c>
    </row>
    <row r="41" spans="1:6">
      <c r="A41" s="701" t="s">
        <v>83</v>
      </c>
      <c r="B41" s="693"/>
      <c r="C41" s="702"/>
      <c r="D41" s="694" t="str">
        <f>VLOOKUP($A41,'ANEXO XVII- MEMORIA DE CALCULO'!$A$1:$P8730,3,0)</f>
        <v>ESTRUTURAS DE CONCRETO - FUNDAÇÃO E SUPERESTRUTURA</v>
      </c>
      <c r="E41" s="703"/>
      <c r="F41" s="704"/>
    </row>
    <row r="42" spans="1:6">
      <c r="A42" s="726" t="s">
        <v>84</v>
      </c>
      <c r="B42" s="727"/>
      <c r="C42" s="728">
        <f>VLOOKUP($A42,'ANEXO XVII- MEMORIA DE CALCULO'!$A$1:$P8730,2,0)</f>
        <v>0</v>
      </c>
      <c r="D42" s="729" t="str">
        <f>VLOOKUP($A42,'ANEXO XVII- MEMORIA DE CALCULO'!$A$1:$P8730,3,0)</f>
        <v>FUNDAÇÃO</v>
      </c>
      <c r="E42" s="714">
        <f>VLOOKUP($A42,'ANEXO XVII- MEMORIA DE CALCULO'!$A$1:$P8730,4,0)</f>
        <v>0</v>
      </c>
      <c r="F42" s="700">
        <f>VLOOKUP($A42,'ANEXO XVII- MEMORIA DE CALCULO'!$A$1:$P8730,9,0)</f>
        <v>0</v>
      </c>
    </row>
    <row r="43" spans="1:6" ht="24">
      <c r="A43" s="711" t="s">
        <v>86</v>
      </c>
      <c r="B43" s="696" t="s">
        <v>14</v>
      </c>
      <c r="C43" s="697">
        <f>VLOOKUP($A43,'ANEXO XVII- MEMORIA DE CALCULO'!$A$1:$P8738,2,0)</f>
        <v>6042</v>
      </c>
      <c r="D43" s="698" t="str">
        <f>VLOOKUP($A43,'ANEXO XVII- MEMORIA DE CALCULO'!$A$1:$P8738,3,0)</f>
        <v>CONCRETO NAO ESTRUTURAL, CONSUMO 210KG/M3, PREPARO COM BETONEIRA, SEM LANCAMENTO</v>
      </c>
      <c r="E43" s="699" t="str">
        <f>VLOOKUP($A43,'ANEXO XVII- MEMORIA DE CALCULO'!$A$1:$P8738,4,0)</f>
        <v>M3</v>
      </c>
      <c r="F43" s="721">
        <f>VLOOKUP($A43,'ANEXO XVII- MEMORIA DE CALCULO'!$A$1:$P8738,9,0)</f>
        <v>5.830750000000001</v>
      </c>
    </row>
    <row r="44" spans="1:6" ht="24">
      <c r="A44" s="711" t="s">
        <v>88</v>
      </c>
      <c r="B44" s="696" t="s">
        <v>14</v>
      </c>
      <c r="C44" s="697">
        <f>VLOOKUP($A44,'ANEXO XVII- MEMORIA DE CALCULO'!$A$1:$P8739,2,0)</f>
        <v>92874</v>
      </c>
      <c r="D44" s="698" t="str">
        <f>VLOOKUP($A44,'ANEXO XVII- MEMORIA DE CALCULO'!$A$1:$P8739,3,0)</f>
        <v>LANÇAMENTO COM USO DE BOMBA, ADENSAMENTO E ACABAMENTO DE CONCRETO EM ESTRUTURAS.</v>
      </c>
      <c r="E44" s="699" t="str">
        <f>VLOOKUP($A44,'ANEXO XVII- MEMORIA DE CALCULO'!$A$1:$P8739,4,0)</f>
        <v>M3</v>
      </c>
      <c r="F44" s="721">
        <f>VLOOKUP($A44,'ANEXO XVII- MEMORIA DE CALCULO'!$A$1:$P8739,9,0)</f>
        <v>5.830750000000001</v>
      </c>
    </row>
    <row r="45" spans="1:6">
      <c r="A45" s="711" t="s">
        <v>90</v>
      </c>
      <c r="B45" s="696" t="s">
        <v>14</v>
      </c>
      <c r="C45" s="697">
        <f>VLOOKUP($A45,'ANEXO XVII- MEMORIA DE CALCULO'!$A$1:$P8740,2,0)</f>
        <v>5651</v>
      </c>
      <c r="D45" s="698" t="str">
        <f>VLOOKUP($A45,'ANEXO XVII- MEMORIA DE CALCULO'!$A$1:$P8740,3,0)</f>
        <v>FORMA TABUA PARA CONCRETO EM FUNDACAO, C/ REAPROVEITAMENTO 5X.</v>
      </c>
      <c r="E45" s="699" t="str">
        <f>VLOOKUP($A45,'ANEXO XVII- MEMORIA DE CALCULO'!$A$1:$P8740,4,0)</f>
        <v>M2</v>
      </c>
      <c r="F45" s="721">
        <f>VLOOKUP($A45,'ANEXO XVII- MEMORIA DE CALCULO'!$A$1:$P8740,9,0)</f>
        <v>65.2</v>
      </c>
    </row>
    <row r="46" spans="1:6" ht="24">
      <c r="A46" s="711" t="s">
        <v>92</v>
      </c>
      <c r="B46" s="696" t="s">
        <v>14</v>
      </c>
      <c r="C46" s="697" t="str">
        <f>VLOOKUP($A46,'ANEXO XVII- MEMORIA DE CALCULO'!$A$1:$P8741,2,0)</f>
        <v>CPU 6.007</v>
      </c>
      <c r="D46" s="698" t="str">
        <f>VLOOKUP($A46,'ANEXO XVII- MEMORIA DE CALCULO'!$A$1:$P8741,3,0)</f>
        <v>CONCRETO USINADO BOMBEÁVEL FCK=30MPA, INCLUSIVE LANCAMENTO E ADENSAMENTO</v>
      </c>
      <c r="E46" s="699" t="str">
        <f>VLOOKUP($A46,'ANEXO XVII- MEMORIA DE CALCULO'!$A$1:$P8741,4,0)</f>
        <v>M3</v>
      </c>
      <c r="F46" s="721">
        <f>VLOOKUP($A46,'ANEXO XVII- MEMORIA DE CALCULO'!$A$1:$P8741,9,0)</f>
        <v>35.6</v>
      </c>
    </row>
    <row r="47" spans="1:6" ht="15.75" customHeight="1">
      <c r="A47" s="726" t="s">
        <v>95</v>
      </c>
      <c r="B47" s="730"/>
      <c r="C47" s="728">
        <f>VLOOKUP($A47,'ANEXO XVII- MEMORIA DE CALCULO'!$A$1:$P8731,2,0)</f>
        <v>0</v>
      </c>
      <c r="D47" s="729" t="str">
        <f>VLOOKUP($A47,'ANEXO XVII- MEMORIA DE CALCULO'!$A$1:$P8731,3,0)</f>
        <v>SUPERESTRUTURA</v>
      </c>
      <c r="E47" s="714">
        <f>VLOOKUP($A47,'ANEXO XVII- MEMORIA DE CALCULO'!$A$1:$P8731,4,0)</f>
        <v>0</v>
      </c>
      <c r="F47" s="700">
        <f>VLOOKUP($A47,'ANEXO XVII- MEMORIA DE CALCULO'!$A$1:$P8731,9,0)</f>
        <v>0</v>
      </c>
    </row>
    <row r="48" spans="1:6" ht="24">
      <c r="A48" s="711" t="s">
        <v>97</v>
      </c>
      <c r="B48" s="696" t="s">
        <v>14</v>
      </c>
      <c r="C48" s="712" t="str">
        <f>VLOOKUP($A48,'ANEXO XVII- MEMORIA DE CALCULO'!$A$1:$P8732,2,0)</f>
        <v>CPU 6.001</v>
      </c>
      <c r="D48" s="713" t="str">
        <f>VLOOKUP($A48,'ANEXO XVII- MEMORIA DE CALCULO'!$A$1:$P8732,3,0)</f>
        <v>FABRICAÇÃO DE FÔRMA PARA ESTRUTURAS, EM CHAPA DE MADEIRA COMPENSADA PLASTIFICADA, E = 12 MM.</v>
      </c>
      <c r="E48" s="714" t="str">
        <f>VLOOKUP($A48,'ANEXO XVII- MEMORIA DE CALCULO'!$A$1:$P8732,4,0)</f>
        <v>M2</v>
      </c>
      <c r="F48" s="700">
        <f>VLOOKUP($A48,'ANEXO XVII- MEMORIA DE CALCULO'!$A$1:$P8732,9,0)</f>
        <v>853.81</v>
      </c>
    </row>
    <row r="49" spans="1:6" ht="24">
      <c r="A49" s="711" t="s">
        <v>98</v>
      </c>
      <c r="B49" s="696" t="s">
        <v>14</v>
      </c>
      <c r="C49" s="712" t="str">
        <f>VLOOKUP($A49,'ANEXO XVII- MEMORIA DE CALCULO'!$A$1:$P8733,2,0)</f>
        <v>CPU 6.002</v>
      </c>
      <c r="D49" s="713" t="str">
        <f>VLOOKUP($A49,'ANEXO XVII- MEMORIA DE CALCULO'!$A$1:$P8733,3,0)</f>
        <v>MONTAGEM E DESMONTAGEM DE FÔRMA EM ESTRUTURAS, EM CHAPA DE MADEIRA COMPENSADA PLASTIFICADA, 4 UTILIZAÇÕES.</v>
      </c>
      <c r="E49" s="714" t="str">
        <f>VLOOKUP($A49,'ANEXO XVII- MEMORIA DE CALCULO'!$A$1:$P8733,4,0)</f>
        <v>M2</v>
      </c>
      <c r="F49" s="700">
        <f>VLOOKUP($A49,'ANEXO XVII- MEMORIA DE CALCULO'!$A$1:$P8733,9,0)</f>
        <v>853.81</v>
      </c>
    </row>
    <row r="50" spans="1:6" ht="24">
      <c r="A50" s="711" t="s">
        <v>99</v>
      </c>
      <c r="B50" s="696" t="s">
        <v>14</v>
      </c>
      <c r="C50" s="712" t="str">
        <f>VLOOKUP($A50,'ANEXO XVII- MEMORIA DE CALCULO'!$A$1:$P8734,2,0)</f>
        <v>CPU 6.003</v>
      </c>
      <c r="D50" s="713" t="str">
        <f>VLOOKUP($A50,'ANEXO XVII- MEMORIA DE CALCULO'!$A$1:$P8734,3,0)</f>
        <v>ARMAÇÃO EM UMA ESTRUTURA CONVENCIONAL DE CONCRETO ARMADO UTILIZANDO AÇO CA-50 DE 6.3 MM - AQUISIÇÃO / CORTE / DOBRA / MONTAGEM.</v>
      </c>
      <c r="E50" s="714" t="str">
        <f>VLOOKUP($A50,'ANEXO XVII- MEMORIA DE CALCULO'!$A$1:$P8734,4,0)</f>
        <v>KG</v>
      </c>
      <c r="F50" s="700">
        <f>VLOOKUP($A50,'ANEXO XVII- MEMORIA DE CALCULO'!$A$1:$P8734,9,0)</f>
        <v>6662</v>
      </c>
    </row>
    <row r="51" spans="1:6" ht="24">
      <c r="A51" s="711" t="s">
        <v>100</v>
      </c>
      <c r="B51" s="696" t="s">
        <v>14</v>
      </c>
      <c r="C51" s="712" t="str">
        <f>VLOOKUP($A51,'ANEXO XVII- MEMORIA DE CALCULO'!$A$1:$P8735,2,0)</f>
        <v>CPU 6.004</v>
      </c>
      <c r="D51" s="713" t="str">
        <f>VLOOKUP($A51,'ANEXO XVII- MEMORIA DE CALCULO'!$A$1:$P8735,3,0)</f>
        <v>ARMAÇÃO EM UMA ESTRUTURA CONVENCIONAL DE CONCRETO ARMADO UTILIZANDO AÇO CA-50 DE 10.0 MM - AQUISIÇÃO / CORTE / DOBRA / MONTAGEM.</v>
      </c>
      <c r="E51" s="714" t="str">
        <f>VLOOKUP($A51,'ANEXO XVII- MEMORIA DE CALCULO'!$A$1:$P8735,4,0)</f>
        <v>KG</v>
      </c>
      <c r="F51" s="700">
        <f>VLOOKUP($A51,'ANEXO XVII- MEMORIA DE CALCULO'!$A$1:$P8735,9,0)</f>
        <v>6830</v>
      </c>
    </row>
    <row r="52" spans="1:6">
      <c r="A52" s="715"/>
      <c r="B52" s="716"/>
      <c r="C52" s="722"/>
      <c r="D52" s="723"/>
      <c r="E52" s="724"/>
      <c r="F52" s="725"/>
    </row>
    <row r="53" spans="1:6">
      <c r="A53" s="701" t="s">
        <v>104</v>
      </c>
      <c r="B53" s="693"/>
      <c r="C53" s="702"/>
      <c r="D53" s="694" t="str">
        <f>VLOOKUP($A53,'ANEXO XVII- MEMORIA DE CALCULO'!$A$1:$P8734,3,0)</f>
        <v>PISOS (FORNECIMENTO E COLOCAÇÃO)</v>
      </c>
      <c r="E53" s="703"/>
      <c r="F53" s="704"/>
    </row>
    <row r="54" spans="1:6" ht="24">
      <c r="A54" s="711" t="s">
        <v>106</v>
      </c>
      <c r="B54" s="696" t="s">
        <v>275</v>
      </c>
      <c r="C54" s="712" t="str">
        <f>VLOOKUP($A54,'ANEXO XVII- MEMORIA DE CALCULO'!$A$1:$P8734,2,0)</f>
        <v>CPU 7.001</v>
      </c>
      <c r="D54" s="713" t="str">
        <f>VLOOKUP($A54,'ANEXO XVII- MEMORIA DE CALCULO'!$A$1:$P8734,3,0)</f>
        <v>PISO INTETRAVADO COM 0,10X0,20X0,08 M NATURAL, ASSENTADA SOBRE COLCHÃO DE AREIA, INCLUSIVE REGULARIZAÇÃO MANUAL DO TERRENO</v>
      </c>
      <c r="E54" s="714" t="str">
        <f>VLOOKUP($A54,'ANEXO XVII- MEMORIA DE CALCULO'!$A$1:$P8734,4,0)</f>
        <v>M2</v>
      </c>
      <c r="F54" s="700">
        <f>VLOOKUP($A54,'ANEXO XVII- MEMORIA DE CALCULO'!$A$1:$P8734,9,0)</f>
        <v>96.72999999999999</v>
      </c>
    </row>
    <row r="55" spans="1:6" ht="24">
      <c r="A55" s="711" t="s">
        <v>108</v>
      </c>
      <c r="B55" s="696" t="s">
        <v>275</v>
      </c>
      <c r="C55" s="712" t="str">
        <f>VLOOKUP($A55,'ANEXO XVII- MEMORIA DE CALCULO'!$A$1:$P8735,2,0)</f>
        <v>CPU 7.002</v>
      </c>
      <c r="D55" s="713" t="str">
        <f>VLOOKUP($A55,'ANEXO XVII- MEMORIA DE CALCULO'!$A$1:$P8735,3,0)</f>
        <v>PISO INTETRAVADO COM 0,10X0,20X0,08 M GRAFITE, ASSENTADA SOBRE COLCHÃO DE AREIA, INCLUSIVE REGULARIZAÇÃO MANUAL DO TERRENO</v>
      </c>
      <c r="E55" s="714" t="str">
        <f>VLOOKUP($A55,'ANEXO XVII- MEMORIA DE CALCULO'!$A$1:$P8735,4,0)</f>
        <v>M2</v>
      </c>
      <c r="F55" s="700">
        <f>VLOOKUP($A55,'ANEXO XVII- MEMORIA DE CALCULO'!$A$1:$P8735,9,0)</f>
        <v>95.12</v>
      </c>
    </row>
    <row r="56" spans="1:6" ht="36">
      <c r="A56" s="711" t="s">
        <v>110</v>
      </c>
      <c r="B56" s="696" t="s">
        <v>275</v>
      </c>
      <c r="C56" s="712" t="str">
        <f>VLOOKUP($A56,'ANEXO XVII- MEMORIA DE CALCULO'!$A$1:$P8736,2,0)</f>
        <v>CPU 7.003</v>
      </c>
      <c r="D56" s="713" t="str">
        <f>VLOOKUP($A56,'ANEXO XVII- MEMORIA DE CALCULO'!$A$1:$P8736,3,0)</f>
        <v>PEÇA DE ARREMATE EM CONCRETO MOLDADO NO LOCAL, DIM. (0,10X0,50X0,20)M, REJUNTADO EM ARGAMASSA NO TRACO 1:3,5 (CIMENTO E AREIA)</v>
      </c>
      <c r="E56" s="714" t="str">
        <f>VLOOKUP($A56,'ANEXO XVII- MEMORIA DE CALCULO'!$A$1:$P8736,4,0)</f>
        <v>M</v>
      </c>
      <c r="F56" s="700">
        <f>VLOOKUP($A56,'ANEXO XVII- MEMORIA DE CALCULO'!$A$1:$P8736,9,0)</f>
        <v>220.96</v>
      </c>
    </row>
    <row r="57" spans="1:6">
      <c r="A57" s="715"/>
      <c r="B57" s="716"/>
      <c r="C57" s="722"/>
      <c r="D57" s="723"/>
      <c r="E57" s="724"/>
      <c r="F57" s="725"/>
    </row>
    <row r="58" spans="1:6">
      <c r="A58" s="701" t="s">
        <v>113</v>
      </c>
      <c r="B58" s="693"/>
      <c r="C58" s="702"/>
      <c r="D58" s="694" t="str">
        <f>VLOOKUP($A58,'ANEXO XVII- MEMORIA DE CALCULO'!$A$1:$P8738,3,0)</f>
        <v>PINTURA</v>
      </c>
      <c r="E58" s="703"/>
      <c r="F58" s="704"/>
    </row>
    <row r="59" spans="1:6" ht="24">
      <c r="A59" s="695" t="s">
        <v>115</v>
      </c>
      <c r="B59" s="696" t="s">
        <v>14</v>
      </c>
      <c r="C59" s="697">
        <f>VLOOKUP($A59,'ANEXO XVII- MEMORIA DE CALCULO'!$A$1:$P8738,2,0)</f>
        <v>88483</v>
      </c>
      <c r="D59" s="698" t="str">
        <f>VLOOKUP($A59,'ANEXO XVII- MEMORIA DE CALCULO'!$A$1:$P8738,3,0)</f>
        <v>APLICAÇÃO DE FUNDO SELADOR LÁTEX PVA EM PAREDES, UMA DEMÃO. AF_06/2014</v>
      </c>
      <c r="E59" s="699" t="str">
        <f>VLOOKUP($A59,'ANEXO XVII- MEMORIA DE CALCULO'!$A$1:$P8738,4,0)</f>
        <v>M2</v>
      </c>
      <c r="F59" s="721">
        <f>VLOOKUP($A59,'ANEXO XVII- MEMORIA DE CALCULO'!$A$1:$P8738,9,0)</f>
        <v>530.31799999999998</v>
      </c>
    </row>
    <row r="60" spans="1:6" ht="24">
      <c r="A60" s="695" t="s">
        <v>118</v>
      </c>
      <c r="B60" s="696" t="s">
        <v>14</v>
      </c>
      <c r="C60" s="697">
        <f>VLOOKUP($A60,'ANEXO XVII- MEMORIA DE CALCULO'!$A$1:$P8739,2,0)</f>
        <v>88495</v>
      </c>
      <c r="D60" s="698" t="str">
        <f>VLOOKUP($A60,'ANEXO XVII- MEMORIA DE CALCULO'!$A$1:$P8739,3,0)</f>
        <v>APLICAÇÃO E LIXAMENTO DE MASSA LÁTEX EM PAREDES, UMA DEMÃO. AF_06/2014</v>
      </c>
      <c r="E60" s="699" t="str">
        <f>VLOOKUP($A60,'ANEXO XVII- MEMORIA DE CALCULO'!$A$1:$P8739,4,0)</f>
        <v>M2</v>
      </c>
      <c r="F60" s="721">
        <f>VLOOKUP($A60,'ANEXO XVII- MEMORIA DE CALCULO'!$A$1:$P8739,9,0)</f>
        <v>530.31799999999998</v>
      </c>
    </row>
    <row r="61" spans="1:6" ht="24">
      <c r="A61" s="695" t="s">
        <v>120</v>
      </c>
      <c r="B61" s="696" t="s">
        <v>14</v>
      </c>
      <c r="C61" s="697">
        <f>VLOOKUP($A61,'ANEXO XVII- MEMORIA DE CALCULO'!$A$1:$P8743,2,0)</f>
        <v>88489</v>
      </c>
      <c r="D61" s="698" t="str">
        <f>VLOOKUP($A61,'ANEXO XVII- MEMORIA DE CALCULO'!$A$1:$P8743,3,0)</f>
        <v>APLICAÇÃO MANUAL DE PINTURA COM TINTA LÁTEX ACRÍLICA EM PAREDES, DUAS DEMÃOS. AF_06/2014</v>
      </c>
      <c r="E61" s="699" t="str">
        <f>VLOOKUP($A61,'ANEXO XVII- MEMORIA DE CALCULO'!$A$1:$P8743,4,0)</f>
        <v>M2</v>
      </c>
      <c r="F61" s="721">
        <f>VLOOKUP($A61,'ANEXO XVII- MEMORIA DE CALCULO'!$A$1:$P8743,9,0)</f>
        <v>530.31799999999998</v>
      </c>
    </row>
    <row r="62" spans="1:6">
      <c r="A62" s="715"/>
      <c r="B62" s="716"/>
      <c r="C62" s="722"/>
      <c r="D62" s="723"/>
      <c r="E62" s="724"/>
      <c r="F62" s="725"/>
    </row>
    <row r="63" spans="1:6">
      <c r="A63" s="701" t="s">
        <v>127</v>
      </c>
      <c r="B63" s="693"/>
      <c r="C63" s="702"/>
      <c r="D63" s="694" t="str">
        <f>VLOOKUP($A63,'ANEXO XVII- MEMORIA DE CALCULO'!$A$1:$P8742,3,0)</f>
        <v>INSTALAÇÕES ELÉTRICAS (FORNECIMENTO E INSTALAÇÃO)</v>
      </c>
      <c r="E63" s="703"/>
      <c r="F63" s="704"/>
    </row>
    <row r="64" spans="1:6" s="278" customFormat="1" ht="24.75" customHeight="1">
      <c r="A64" s="726" t="s">
        <v>129</v>
      </c>
      <c r="B64" s="730" t="s">
        <v>275</v>
      </c>
      <c r="C64" s="728">
        <f>VLOOKUP($A64,'ANEXO XVII- MEMORIA DE CALCULO'!$A$1:$P8742,2,0)</f>
        <v>0</v>
      </c>
      <c r="D64" s="729" t="str">
        <f>VLOOKUP($A64,'ANEXO XVII- MEMORIA DE CALCULO'!$A$1:$P8742,3,0)</f>
        <v>QUADROS E CAIXAS</v>
      </c>
      <c r="E64" s="714">
        <f>VLOOKUP($A64,'ANEXO XVII- MEMORIA DE CALCULO'!$A$1:$P8742,4,0)</f>
        <v>0</v>
      </c>
      <c r="F64" s="700">
        <f>VLOOKUP($A64,'ANEXO XVII- MEMORIA DE CALCULO'!$A$1:$P8742,9,0)</f>
        <v>0</v>
      </c>
    </row>
    <row r="65" spans="1:6" s="278" customFormat="1" ht="24.75" customHeight="1">
      <c r="A65" s="695" t="s">
        <v>131</v>
      </c>
      <c r="B65" s="696" t="s">
        <v>14</v>
      </c>
      <c r="C65" s="697" t="str">
        <f>VLOOKUP($A65,'ANEXO XVII- MEMORIA DE CALCULO'!$A$1:$P8747,2,0)</f>
        <v>CPU 9.009</v>
      </c>
      <c r="D65" s="698" t="str">
        <f>VLOOKUP($A65,'ANEXO XVII- MEMORIA DE CALCULO'!$A$1:$P8747,3,0)</f>
        <v>CAIXA PARA MEDICAO MONOFASICA PARA USO EXTERNO</v>
      </c>
      <c r="E65" s="699" t="str">
        <f>VLOOKUP($A65,'ANEXO XVII- MEMORIA DE CALCULO'!$A$1:$P8747,4,0)</f>
        <v>UN</v>
      </c>
      <c r="F65" s="721">
        <f>VLOOKUP($A65,'ANEXO XVII- MEMORIA DE CALCULO'!$A$1:$P8747,9,0)</f>
        <v>5</v>
      </c>
    </row>
    <row r="66" spans="1:6" s="278" customFormat="1" ht="24.75" customHeight="1">
      <c r="A66" s="695" t="s">
        <v>133</v>
      </c>
      <c r="B66" s="696" t="s">
        <v>14</v>
      </c>
      <c r="C66" s="697">
        <f>VLOOKUP($A66,'ANEXO XVII- MEMORIA DE CALCULO'!$A$1:$P8748,2,0)</f>
        <v>83446</v>
      </c>
      <c r="D66" s="698" t="str">
        <f>VLOOKUP($A66,'ANEXO XVII- MEMORIA DE CALCULO'!$A$1:$P8748,3,0)</f>
        <v>CAIXA DE PASSAGEM 30X30X40 COM TAMPA E DRENO BRITA</v>
      </c>
      <c r="E66" s="699" t="str">
        <f>VLOOKUP($A66,'ANEXO XVII- MEMORIA DE CALCULO'!$A$1:$P8748,4,0)</f>
        <v>UN</v>
      </c>
      <c r="F66" s="721">
        <f>VLOOKUP($A66,'ANEXO XVII- MEMORIA DE CALCULO'!$A$1:$P8748,9,0)</f>
        <v>11</v>
      </c>
    </row>
    <row r="67" spans="1:6" s="278" customFormat="1" ht="24.75" customHeight="1">
      <c r="A67" s="695" t="s">
        <v>135</v>
      </c>
      <c r="B67" s="696" t="s">
        <v>14</v>
      </c>
      <c r="C67" s="697" t="str">
        <f>VLOOKUP($A67,'ANEXO XVII- MEMORIA DE CALCULO'!$A$1:$P8749,2,0)</f>
        <v>CPU 9.003</v>
      </c>
      <c r="D67" s="698" t="str">
        <f>VLOOKUP($A67,'ANEXO XVII- MEMORIA DE CALCULO'!$A$1:$P8749,3,0)</f>
        <v>CAIXA DE PASSAGEM 40X40X80 FUNDO BRITA C/ TAMPA</v>
      </c>
      <c r="E67" s="699" t="str">
        <f>VLOOKUP($A67,'ANEXO XVII- MEMORIA DE CALCULO'!$A$1:$P8749,4,0)</f>
        <v>UN</v>
      </c>
      <c r="F67" s="721">
        <f>VLOOKUP($A67,'ANEXO XVII- MEMORIA DE CALCULO'!$A$1:$P8749,9,0)</f>
        <v>5</v>
      </c>
    </row>
    <row r="68" spans="1:6" s="278" customFormat="1">
      <c r="A68" s="731" t="s">
        <v>137</v>
      </c>
      <c r="B68" s="730" t="s">
        <v>275</v>
      </c>
      <c r="C68" s="732">
        <f>VLOOKUP($A68,'ANEXO XVII- MEMORIA DE CALCULO'!$A$1:$P8743,2,0)</f>
        <v>0</v>
      </c>
      <c r="D68" s="733" t="str">
        <f>VLOOKUP($A68,'ANEXO XVII- MEMORIA DE CALCULO'!$A$1:$P8743,3,0)</f>
        <v>ELETRODUTOS</v>
      </c>
      <c r="E68" s="699">
        <f>VLOOKUP($A68,'ANEXO XVII- MEMORIA DE CALCULO'!$A$1:$P8743,4,0)</f>
        <v>0</v>
      </c>
      <c r="F68" s="721">
        <f>VLOOKUP($A68,'ANEXO XVII- MEMORIA DE CALCULO'!$A$1:$P8743,9,0)</f>
        <v>0</v>
      </c>
    </row>
    <row r="69" spans="1:6" s="278" customFormat="1" ht="24">
      <c r="A69" s="695" t="s">
        <v>139</v>
      </c>
      <c r="B69" s="696" t="s">
        <v>14</v>
      </c>
      <c r="C69" s="697" t="str">
        <f>VLOOKUP($A69,'ANEXO XVII- MEMORIA DE CALCULO'!$A$1:$P8758,2,0)</f>
        <v>CPU 9.000</v>
      </c>
      <c r="D69" s="698" t="str">
        <f>VLOOKUP($A69,'ANEXO XVII- MEMORIA DE CALCULO'!$A$1:$P8758,3,0)</f>
        <v>ELETRODUTO DE PVC RIGIDO ROSCAVEL DN 15MM (1/2") INCL CONEXOES, FORNECIMENTO E INSTALACAO</v>
      </c>
      <c r="E69" s="699" t="str">
        <f>VLOOKUP($A69,'ANEXO XVII- MEMORIA DE CALCULO'!$A$1:$P8758,4,0)</f>
        <v>M</v>
      </c>
      <c r="F69" s="721">
        <f>VLOOKUP($A69,'ANEXO XVII- MEMORIA DE CALCULO'!$A$1:$P8758,9,0)</f>
        <v>26.5</v>
      </c>
    </row>
    <row r="70" spans="1:6" s="278" customFormat="1" ht="24">
      <c r="A70" s="695" t="s">
        <v>141</v>
      </c>
      <c r="B70" s="696" t="s">
        <v>14</v>
      </c>
      <c r="C70" s="697" t="str">
        <f>VLOOKUP($A70,'ANEXO XVII- MEMORIA DE CALCULO'!$A$1:$P8759,2,0)</f>
        <v>CPU 9.001</v>
      </c>
      <c r="D70" s="698" t="str">
        <f>VLOOKUP($A70,'ANEXO XVII- MEMORIA DE CALCULO'!$A$1:$P8759,3,0)</f>
        <v>ELETRODUTO DE PVC ROSCÁVEL DE 2 1/2, INCL CONEXOES, FORNECIMENTO E INSTALAÇÃO</v>
      </c>
      <c r="E70" s="699" t="str">
        <f>VLOOKUP($A70,'ANEXO XVII- MEMORIA DE CALCULO'!$A$1:$P8759,4,0)</f>
        <v>M</v>
      </c>
      <c r="F70" s="721">
        <f>VLOOKUP($A70,'ANEXO XVII- MEMORIA DE CALCULO'!$A$1:$P8759,9,0)</f>
        <v>11</v>
      </c>
    </row>
    <row r="71" spans="1:6" s="278" customFormat="1" ht="24">
      <c r="A71" s="695" t="s">
        <v>143</v>
      </c>
      <c r="B71" s="696" t="s">
        <v>14</v>
      </c>
      <c r="C71" s="697" t="str">
        <f>VLOOKUP($A71,'ANEXO XVII- MEMORIA DE CALCULO'!$A$1:$P8760,2,0)</f>
        <v>CPU 9.002</v>
      </c>
      <c r="D71" s="698" t="str">
        <f>VLOOKUP($A71,'ANEXO XVII- MEMORIA DE CALCULO'!$A$1:$P8760,3,0)</f>
        <v>ELETRODUTO DE PVC RIGIDO ROSCAVEL DN (3/4") INCL CONEXOES, ENVELOPADO - FORNECIMENTO E INSTALACAO</v>
      </c>
      <c r="E71" s="699" t="str">
        <f>VLOOKUP($A71,'ANEXO XVII- MEMORIA DE CALCULO'!$A$1:$P8760,4,0)</f>
        <v>M</v>
      </c>
      <c r="F71" s="721">
        <f>VLOOKUP($A71,'ANEXO XVII- MEMORIA DE CALCULO'!$A$1:$P8760,9,0)</f>
        <v>58.7</v>
      </c>
    </row>
    <row r="72" spans="1:6" s="278" customFormat="1" ht="24">
      <c r="A72" s="695" t="s">
        <v>145</v>
      </c>
      <c r="B72" s="696" t="s">
        <v>14</v>
      </c>
      <c r="C72" s="697">
        <f>VLOOKUP($A72,'ANEXO XVII- MEMORIA DE CALCULO'!$A$1:$P8761,2,0)</f>
        <v>72309</v>
      </c>
      <c r="D72" s="698" t="str">
        <f>VLOOKUP($A72,'ANEXO XVII- MEMORIA DE CALCULO'!$A$1:$P8761,3,0)</f>
        <v>ELETRODUTO DE ACO GALVANIZADO ELETROLITICO DN 25MM (1"), TIPO LEVE, INCLUSIVE CONEXOES - FORNECIMENTO E INSTALACAO</v>
      </c>
      <c r="E72" s="699" t="str">
        <f>VLOOKUP($A72,'ANEXO XVII- MEMORIA DE CALCULO'!$A$1:$P8761,4,0)</f>
        <v>M</v>
      </c>
      <c r="F72" s="721">
        <f>VLOOKUP($A72,'ANEXO XVII- MEMORIA DE CALCULO'!$A$1:$P8761,9,0)</f>
        <v>32.5</v>
      </c>
    </row>
    <row r="73" spans="1:6" s="278" customFormat="1" ht="24">
      <c r="A73" s="695" t="s">
        <v>148</v>
      </c>
      <c r="B73" s="696" t="s">
        <v>14</v>
      </c>
      <c r="C73" s="697" t="str">
        <f>VLOOKUP($A73,'ANEXO XVII- MEMORIA DE CALCULO'!$A$1:$P8762,2,0)</f>
        <v>CPU 9.010</v>
      </c>
      <c r="D73" s="698" t="str">
        <f>VLOOKUP($A73,'ANEXO XVII- MEMORIA DE CALCULO'!$A$1:$P8762,3,0)</f>
        <v>ELETRODUTO DE PVC RIGIDO ROSCAVEL DN (3/4") INCL CONEXOES, FORNECIMENTO E INSTALACAO</v>
      </c>
      <c r="E73" s="699" t="str">
        <f>VLOOKUP($A73,'ANEXO XVII- MEMORIA DE CALCULO'!$A$1:$P8762,4,0)</f>
        <v>M</v>
      </c>
      <c r="F73" s="721">
        <f>VLOOKUP($A73,'ANEXO XVII- MEMORIA DE CALCULO'!$A$1:$P8762,9,0)</f>
        <v>114.23999999999998</v>
      </c>
    </row>
    <row r="74" spans="1:6" s="278" customFormat="1" ht="24">
      <c r="A74" s="695" t="s">
        <v>149</v>
      </c>
      <c r="B74" s="696" t="s">
        <v>14</v>
      </c>
      <c r="C74" s="697" t="str">
        <f>VLOOKUP($A74,'ANEXO XVII- MEMORIA DE CALCULO'!$A$1:$P8763,2,0)</f>
        <v>CPU 9.004</v>
      </c>
      <c r="D74" s="698" t="str">
        <f>VLOOKUP($A74,'ANEXO XVII- MEMORIA DE CALCULO'!$A$1:$P8763,3,0)</f>
        <v>CURVA FERRO GALVANIZADO 90G ROSCA FEMEA REF. 2 1/2", FORNECIMENTO E INSTALAÇÃO</v>
      </c>
      <c r="E74" s="699" t="str">
        <f>VLOOKUP($A74,'ANEXO XVII- MEMORIA DE CALCULO'!$A$1:$P8763,4,0)</f>
        <v>UN</v>
      </c>
      <c r="F74" s="721">
        <f>VLOOKUP($A74,'ANEXO XVII- MEMORIA DE CALCULO'!$A$1:$P8763,9,0)</f>
        <v>2</v>
      </c>
    </row>
    <row r="75" spans="1:6" s="278" customFormat="1">
      <c r="A75" s="695"/>
      <c r="B75" s="696"/>
      <c r="C75" s="697"/>
      <c r="D75" s="698"/>
      <c r="E75" s="699"/>
      <c r="F75" s="721"/>
    </row>
    <row r="76" spans="1:6" s="278" customFormat="1">
      <c r="A76" s="731" t="s">
        <v>151</v>
      </c>
      <c r="B76" s="730" t="s">
        <v>275</v>
      </c>
      <c r="C76" s="732">
        <f>VLOOKUP($A76,'ANEXO XVII- MEMORIA DE CALCULO'!$A$1:$P8744,2,0)</f>
        <v>0</v>
      </c>
      <c r="D76" s="733" t="str">
        <f>VLOOKUP($A76,'ANEXO XVII- MEMORIA DE CALCULO'!$A$1:$P8744,3,0)</f>
        <v>CABOS</v>
      </c>
      <c r="E76" s="734">
        <f>VLOOKUP($A76,'ANEXO XVII- MEMORIA DE CALCULO'!$A$1:$P8744,4,0)</f>
        <v>0</v>
      </c>
      <c r="F76" s="735">
        <f>VLOOKUP($A76,'ANEXO XVII- MEMORIA DE CALCULO'!$A$1:$P8744,9,0)</f>
        <v>0</v>
      </c>
    </row>
    <row r="77" spans="1:6" s="278" customFormat="1" ht="24">
      <c r="A77" s="695" t="s">
        <v>153</v>
      </c>
      <c r="B77" s="696" t="s">
        <v>14</v>
      </c>
      <c r="C77" s="697">
        <f>VLOOKUP($A77,'ANEXO XVII- MEMORIA DE CALCULO'!$A$1:$P8768,2,0)</f>
        <v>91931</v>
      </c>
      <c r="D77" s="698" t="str">
        <f>VLOOKUP($A77,'ANEXO XVII- MEMORIA DE CALCULO'!$A$1:$P8768,3,0)</f>
        <v>CABO DE COBRE FLEXÍVEL ISOLADO, 6 MM², ANTI-CHAMA 0,6/1,0 KV, PARA CIRCUITOS TERMINAIS - FORNECIMENTO E INSTALAÇÃO. AF_12/2015</v>
      </c>
      <c r="E77" s="699" t="str">
        <f>VLOOKUP($A77,'ANEXO XVII- MEMORIA DE CALCULO'!$A$1:$P8768,4,0)</f>
        <v>M</v>
      </c>
      <c r="F77" s="721">
        <f>VLOOKUP($A77,'ANEXO XVII- MEMORIA DE CALCULO'!$A$1:$P8768,9,0)</f>
        <v>36.800000000000004</v>
      </c>
    </row>
    <row r="78" spans="1:6" s="278" customFormat="1" ht="24">
      <c r="A78" s="695" t="s">
        <v>155</v>
      </c>
      <c r="B78" s="696" t="s">
        <v>14</v>
      </c>
      <c r="C78" s="697">
        <f>VLOOKUP($A78,'ANEXO XVII- MEMORIA DE CALCULO'!$A$1:$P8769,2,0)</f>
        <v>91927</v>
      </c>
      <c r="D78" s="698" t="str">
        <f>VLOOKUP($A78,'ANEXO XVII- MEMORIA DE CALCULO'!$A$1:$P8769,3,0)</f>
        <v>CABO DE COBRE FLEXÍVEL ISOLADO, 2,5 MM², ANTI-CHAMA 0,6/1,0 KV, PARA CIRCUITOS TERMINAIS - FORNECIMENTO E INSTALAÇÃO. AF_12/2015</v>
      </c>
      <c r="E78" s="699" t="str">
        <f>VLOOKUP($A78,'ANEXO XVII- MEMORIA DE CALCULO'!$A$1:$P8769,4,0)</f>
        <v>M</v>
      </c>
      <c r="F78" s="721">
        <f>VLOOKUP($A78,'ANEXO XVII- MEMORIA DE CALCULO'!$A$1:$P8769,9,0)</f>
        <v>540</v>
      </c>
    </row>
    <row r="79" spans="1:6" s="278" customFormat="1">
      <c r="A79" s="695" t="s">
        <v>157</v>
      </c>
      <c r="B79" s="696" t="s">
        <v>14</v>
      </c>
      <c r="C79" s="697">
        <f>VLOOKUP($A79,'ANEXO XVII- MEMORIA DE CALCULO'!$A$1:$P8770,2,0)</f>
        <v>68069</v>
      </c>
      <c r="D79" s="698" t="str">
        <f>VLOOKUP($A79,'ANEXO XVII- MEMORIA DE CALCULO'!$A$1:$P8770,3,0)</f>
        <v>HASTE COPPERWELD 5/8 X 3,0M COM CONECTOR</v>
      </c>
      <c r="E79" s="699" t="str">
        <f>VLOOKUP($A79,'ANEXO XVII- MEMORIA DE CALCULO'!$A$1:$P8770,4,0)</f>
        <v>UN</v>
      </c>
      <c r="F79" s="721">
        <f>VLOOKUP($A79,'ANEXO XVII- MEMORIA DE CALCULO'!$A$1:$P8770,9,0)</f>
        <v>5</v>
      </c>
    </row>
    <row r="80" spans="1:6" s="278" customFormat="1">
      <c r="A80" s="695"/>
      <c r="B80" s="696"/>
      <c r="C80" s="697"/>
      <c r="D80" s="698"/>
      <c r="E80" s="699"/>
      <c r="F80" s="721"/>
    </row>
    <row r="81" spans="1:6" s="278" customFormat="1">
      <c r="A81" s="731" t="s">
        <v>159</v>
      </c>
      <c r="B81" s="730" t="s">
        <v>275</v>
      </c>
      <c r="C81" s="732">
        <f>VLOOKUP($A81,'ANEXO XVII- MEMORIA DE CALCULO'!$A$1:$P8745,2,0)</f>
        <v>0</v>
      </c>
      <c r="D81" s="733" t="str">
        <f>VLOOKUP($A81,'ANEXO XVII- MEMORIA DE CALCULO'!$A$1:$P8745,3,0)</f>
        <v>POSTES E LUMINÁRIAS</v>
      </c>
      <c r="E81" s="734">
        <f>VLOOKUP($A81,'ANEXO XVII- MEMORIA DE CALCULO'!$A$1:$P8745,4,0)</f>
        <v>0</v>
      </c>
      <c r="F81" s="735">
        <f>VLOOKUP($A81,'ANEXO XVII- MEMORIA DE CALCULO'!$A$1:$P8745,9,0)</f>
        <v>0</v>
      </c>
    </row>
    <row r="82" spans="1:6" s="278" customFormat="1" ht="24">
      <c r="A82" s="695" t="s">
        <v>161</v>
      </c>
      <c r="B82" s="696" t="s">
        <v>275</v>
      </c>
      <c r="C82" s="697" t="str">
        <f>VLOOKUP($A82,'ANEXO XVII- MEMORIA DE CALCULO'!$A$1:$P8746,2,0)</f>
        <v>CPU 9.005</v>
      </c>
      <c r="D82" s="698" t="str">
        <f>VLOOKUP($A82,'ANEXO XVII- MEMORIA DE CALCULO'!$A$1:$P8746,3,0)</f>
        <v>POSTE DE CONCRETO DUPLO T, 100 KG, H = 8 M (NBR 8451)INCLUSIVE ESCAVACAO, EXCLUSIVE TRANSPORTE - FORNECIMENTO E INSTALAÇÃO</v>
      </c>
      <c r="E82" s="699" t="str">
        <f>VLOOKUP($A82,'ANEXO XVII- MEMORIA DE CALCULO'!$A$1:$P8746,4,0)</f>
        <v>UN</v>
      </c>
      <c r="F82" s="721">
        <f>VLOOKUP($A82,'ANEXO XVII- MEMORIA DE CALCULO'!$A$1:$P8746,9,0)</f>
        <v>2</v>
      </c>
    </row>
    <row r="83" spans="1:6" s="278" customFormat="1" ht="24">
      <c r="A83" s="695" t="s">
        <v>163</v>
      </c>
      <c r="B83" s="696" t="s">
        <v>275</v>
      </c>
      <c r="C83" s="697" t="str">
        <f>VLOOKUP($A83,'ANEXO XVII- MEMORIA DE CALCULO'!$A$1:$P8747,2,0)</f>
        <v>CPU 9.006</v>
      </c>
      <c r="D83" s="698" t="str">
        <f>VLOOKUP($A83,'ANEXO XVII- MEMORIA DE CALCULO'!$A$1:$P8747,3,0)</f>
        <v>POSTE DE ACO CONICO CONTINUO RETO, COM 04 PETALAS  E LÂMPADAS DE 250W, H=11M - FORNECIMENTO E INSTALACAO</v>
      </c>
      <c r="E83" s="699" t="str">
        <f>VLOOKUP($A83,'ANEXO XVII- MEMORIA DE CALCULO'!$A$1:$P8747,4,0)</f>
        <v>UN</v>
      </c>
      <c r="F83" s="721">
        <f>VLOOKUP($A83,'ANEXO XVII- MEMORIA DE CALCULO'!$A$1:$P8747,9,0)</f>
        <v>2</v>
      </c>
    </row>
    <row r="84" spans="1:6" s="278" customFormat="1" ht="24">
      <c r="A84" s="695" t="s">
        <v>165</v>
      </c>
      <c r="B84" s="696" t="s">
        <v>275</v>
      </c>
      <c r="C84" s="697" t="str">
        <f>VLOOKUP($A84,'ANEXO XVII- MEMORIA DE CALCULO'!$A$1:$P8748,2,0)</f>
        <v>CPU 9.007</v>
      </c>
      <c r="D84" s="698" t="str">
        <f>VLOOKUP($A84,'ANEXO XVII- MEMORIA DE CALCULO'!$A$1:$P8748,3,0)</f>
        <v>LUMINÁRIA EW BLAST POWERCORE BCP473 COMPLETA OU SIMILAR - FORNECIMENTO E INSTALAÇÃO</v>
      </c>
      <c r="E84" s="699" t="str">
        <f>VLOOKUP($A84,'ANEXO XVII- MEMORIA DE CALCULO'!$A$1:$P8748,4,0)</f>
        <v>UN</v>
      </c>
      <c r="F84" s="721">
        <f>VLOOKUP($A84,'ANEXO XVII- MEMORIA DE CALCULO'!$A$1:$P8748,9,0)</f>
        <v>10</v>
      </c>
    </row>
    <row r="85" spans="1:6" s="278" customFormat="1">
      <c r="A85" s="695" t="s">
        <v>167</v>
      </c>
      <c r="B85" s="696" t="s">
        <v>275</v>
      </c>
      <c r="C85" s="697" t="str">
        <f>VLOOKUP($A85,'ANEXO XVII- MEMORIA DE CALCULO'!$A$1:$P8749,2,0)</f>
        <v>CPU 9.008</v>
      </c>
      <c r="D85" s="698" t="str">
        <f>VLOOKUP($A85,'ANEXO XVII- MEMORIA DE CALCULO'!$A$1:$P8749,3,0)</f>
        <v>LUMINARIA AQUALED 2L - FORNECIMENTO E INSTALAÇÃO</v>
      </c>
      <c r="E85" s="699" t="str">
        <f>VLOOKUP($A85,'ANEXO XVII- MEMORIA DE CALCULO'!$A$1:$P8749,4,0)</f>
        <v>UN</v>
      </c>
      <c r="F85" s="721">
        <f>VLOOKUP($A85,'ANEXO XVII- MEMORIA DE CALCULO'!$A$1:$P8749,9,0)</f>
        <v>40</v>
      </c>
    </row>
    <row r="86" spans="1:6" s="278" customFormat="1" ht="24">
      <c r="A86" s="695" t="s">
        <v>169</v>
      </c>
      <c r="B86" s="696" t="s">
        <v>275</v>
      </c>
      <c r="C86" s="697">
        <f>VLOOKUP($A86,'ANEXO XVII- MEMORIA DE CALCULO'!$A$1:$P8750,2,0)</f>
        <v>83399</v>
      </c>
      <c r="D86" s="698" t="str">
        <f>VLOOKUP($A86,'ANEXO XVII- MEMORIA DE CALCULO'!$A$1:$P8750,3,0)</f>
        <v>RELE FOTOELETRICO P/ COMANDO DE ILUMINACAO EXTERNA 220V/1000W - FORNECIMENTO E INSTALACAO</v>
      </c>
      <c r="E86" s="699" t="str">
        <f>VLOOKUP($A86,'ANEXO XVII- MEMORIA DE CALCULO'!$A$1:$P8750,4,0)</f>
        <v>UN</v>
      </c>
      <c r="F86" s="721">
        <f>VLOOKUP($A86,'ANEXO XVII- MEMORIA DE CALCULO'!$A$1:$P8750,9,0)</f>
        <v>2</v>
      </c>
    </row>
    <row r="87" spans="1:6">
      <c r="A87" s="715"/>
      <c r="B87" s="716"/>
      <c r="C87" s="722"/>
      <c r="D87" s="723"/>
      <c r="E87" s="724"/>
      <c r="F87" s="725"/>
    </row>
    <row r="88" spans="1:6">
      <c r="A88" s="701" t="s">
        <v>328</v>
      </c>
      <c r="B88" s="693"/>
      <c r="C88" s="702"/>
      <c r="D88" s="694" t="str">
        <f>VLOOKUP($A88,'ANEXO XVII- MEMORIA DE CALCULO'!$A$1:$P8748,3,0)</f>
        <v>DIVERSOS</v>
      </c>
      <c r="E88" s="703"/>
      <c r="F88" s="704"/>
    </row>
    <row r="89" spans="1:6" s="278" customFormat="1">
      <c r="A89" s="711" t="s">
        <v>172</v>
      </c>
      <c r="B89" s="736" t="s">
        <v>14</v>
      </c>
      <c r="C89" s="712">
        <f>VLOOKUP($A89,'ANEXO XVII- MEMORIA DE CALCULO'!$A$1:$P8748,2,0)</f>
        <v>85180</v>
      </c>
      <c r="D89" s="713" t="str">
        <f>VLOOKUP($A89,'ANEXO XVII- MEMORIA DE CALCULO'!$A$1:$P8748,3,0)</f>
        <v>PLANTIO DE GRAMA ESMERALDA EM ROLO, INCLUSIVE PREPARO DO SOLO</v>
      </c>
      <c r="E89" s="714" t="str">
        <f>VLOOKUP($A89,'ANEXO XVII- MEMORIA DE CALCULO'!$A$1:$P8748,4,0)</f>
        <v>M2</v>
      </c>
      <c r="F89" s="700">
        <f>VLOOKUP($A89,'ANEXO XVII- MEMORIA DE CALCULO'!$A$1:$P8748,9,0)</f>
        <v>405.09000000000003</v>
      </c>
    </row>
    <row r="90" spans="1:6" s="278" customFormat="1" ht="24">
      <c r="A90" s="711" t="s">
        <v>174</v>
      </c>
      <c r="B90" s="696" t="s">
        <v>14</v>
      </c>
      <c r="C90" s="712" t="str">
        <f>VLOOKUP($A90,'ANEXO XVII- MEMORIA DE CALCULO'!$A$1:$P8749,2,0)</f>
        <v>73967/002</v>
      </c>
      <c r="D90" s="713" t="str">
        <f>VLOOKUP($A90,'ANEXO XVII- MEMORIA DE CALCULO'!$A$1:$P8749,3,0)</f>
        <v>PLANTIO DE ARVORE REGIONAL, ALTURA MAIOR QUE 2,00M, EM CAVAS DE 80X80X80CM</v>
      </c>
      <c r="E90" s="714" t="str">
        <f>VLOOKUP($A90,'ANEXO XVII- MEMORIA DE CALCULO'!$A$1:$P8749,4,0)</f>
        <v>UN</v>
      </c>
      <c r="F90" s="700">
        <f>VLOOKUP($A90,'ANEXO XVII- MEMORIA DE CALCULO'!$A$1:$P8749,9,0)</f>
        <v>3</v>
      </c>
    </row>
    <row r="91" spans="1:6" s="278" customFormat="1">
      <c r="A91" s="711" t="s">
        <v>177</v>
      </c>
      <c r="B91" s="696" t="s">
        <v>14</v>
      </c>
      <c r="C91" s="712">
        <f>VLOOKUP($A91,'ANEXO XVII- MEMORIA DE CALCULO'!$A$1:$P8750,2,0)</f>
        <v>85178</v>
      </c>
      <c r="D91" s="713" t="str">
        <f>VLOOKUP($A91,'ANEXO XVII- MEMORIA DE CALCULO'!$A$1:$P8750,3,0)</f>
        <v>PLANTIO DE ARBUSTO COM ALTURA 50 A 100CM, EM CAVA DE 60X60X60CM</v>
      </c>
      <c r="E91" s="714" t="str">
        <f>VLOOKUP($A91,'ANEXO XVII- MEMORIA DE CALCULO'!$A$1:$P8750,4,0)</f>
        <v>UN</v>
      </c>
      <c r="F91" s="700">
        <f>VLOOKUP($A91,'ANEXO XVII- MEMORIA DE CALCULO'!$A$1:$P8750,9,0)</f>
        <v>262</v>
      </c>
    </row>
    <row r="92" spans="1:6" s="278" customFormat="1" ht="24">
      <c r="A92" s="711" t="s">
        <v>179</v>
      </c>
      <c r="B92" s="696" t="s">
        <v>275</v>
      </c>
      <c r="C92" s="712" t="str">
        <f>VLOOKUP($A92,'ANEXO XVII- MEMORIA DE CALCULO'!$A$1:$P8751,2,0)</f>
        <v>CPU 10.001</v>
      </c>
      <c r="D92" s="713" t="str">
        <f>VLOOKUP($A92,'ANEXO XVII- MEMORIA DE CALCULO'!$A$1:$P8751,3,0)</f>
        <v xml:space="preserve">PLACA DE SINALIZACAO EM CHAPA DE ALUMINIO COM PINTURA REFLETIVA, E = 2 MM, INCLUSIVE FIXAÇÃO </v>
      </c>
      <c r="E92" s="714" t="str">
        <f>VLOOKUP($A92,'ANEXO XVII- MEMORIA DE CALCULO'!$A$1:$P8751,4,0)</f>
        <v>M2</v>
      </c>
      <c r="F92" s="700">
        <f>VLOOKUP($A92,'ANEXO XVII- MEMORIA DE CALCULO'!$A$1:$P8751,9,0)</f>
        <v>36.620000000000005</v>
      </c>
    </row>
    <row r="93" spans="1:6">
      <c r="A93" s="715"/>
      <c r="B93" s="716"/>
      <c r="C93" s="737"/>
      <c r="D93" s="718"/>
      <c r="E93" s="719"/>
      <c r="F93" s="720"/>
    </row>
    <row r="94" spans="1:6">
      <c r="A94" s="715"/>
      <c r="B94" s="716"/>
      <c r="C94" s="737"/>
      <c r="D94" s="718" t="s">
        <v>332</v>
      </c>
      <c r="E94" s="719"/>
      <c r="F94" s="720"/>
    </row>
    <row r="95" spans="1:6">
      <c r="A95" s="715"/>
      <c r="B95" s="716"/>
      <c r="C95" s="737"/>
      <c r="D95" s="738" t="s">
        <v>737</v>
      </c>
      <c r="E95" s="719"/>
      <c r="F95" s="720"/>
    </row>
    <row r="96" spans="1:6">
      <c r="A96" s="715"/>
      <c r="B96" s="716"/>
      <c r="C96" s="737"/>
      <c r="D96" s="718"/>
      <c r="E96" s="719"/>
      <c r="F96" s="720"/>
    </row>
    <row r="97" spans="1:8">
      <c r="A97" s="739"/>
      <c r="B97" s="740"/>
      <c r="C97" s="740"/>
      <c r="D97" s="741"/>
      <c r="E97" s="742"/>
      <c r="F97" s="743"/>
      <c r="H97" s="744"/>
    </row>
    <row r="98" spans="1:8">
      <c r="B98" s="745"/>
    </row>
    <row r="99" spans="1:8">
      <c r="D99" t="s">
        <v>738</v>
      </c>
    </row>
    <row r="100" spans="1:8">
      <c r="D100"/>
    </row>
    <row r="101" spans="1:8">
      <c r="C101" s="552"/>
      <c r="D101" s="536" t="s">
        <v>255</v>
      </c>
    </row>
    <row r="102" spans="1:8">
      <c r="C102"/>
      <c r="D102" s="217" t="s">
        <v>256</v>
      </c>
    </row>
    <row r="103" spans="1:8">
      <c r="D103" s="217" t="s">
        <v>257</v>
      </c>
    </row>
  </sheetData>
  <sheetProtection selectLockedCells="1" selectUnlockedCells="1"/>
  <mergeCells count="10">
    <mergeCell ref="A3:F3"/>
    <mergeCell ref="B6:D6"/>
    <mergeCell ref="E6:F6"/>
    <mergeCell ref="E7:F7"/>
    <mergeCell ref="A9:A10"/>
    <mergeCell ref="B9:B10"/>
    <mergeCell ref="C9:C10"/>
    <mergeCell ref="D9:D10"/>
    <mergeCell ref="E9:E10"/>
    <mergeCell ref="F9:F10"/>
  </mergeCells>
  <pageMargins left="0.51180555555555551" right="0.51180555555555551" top="0.78749999999999998" bottom="0.78749999999999998" header="0.51180555555555551" footer="0.31527777777777777"/>
  <pageSetup paperSize="9" scale="67" firstPageNumber="0" fitToHeight="0" orientation="portrait" horizontalDpi="300" verticalDpi="300" r:id="rId1"/>
  <headerFooter alignWithMargins="0">
    <oddFooter>&amp;L&amp;A&amp;CPágina &amp;P de &amp;N&amp;R&amp;"-,Negrito"&amp;9 07+000Antônio Nunes da Silva Filho
Eng. Civil - CREA 16.122 - D/PE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SheetLayoutView="85" workbookViewId="0"/>
  </sheetViews>
  <sheetFormatPr defaultColWidth="9" defaultRowHeight="15"/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BreakPreview" topLeftCell="A58" zoomScale="85" zoomScaleSheetLayoutView="85" workbookViewId="0">
      <selection activeCell="A20" sqref="A20"/>
    </sheetView>
  </sheetViews>
  <sheetFormatPr defaultRowHeight="12"/>
  <cols>
    <col min="1" max="1" width="31.7109375" style="746" customWidth="1"/>
    <col min="2" max="11" width="9.7109375" style="746" customWidth="1"/>
    <col min="12" max="16384" width="9.140625" style="746"/>
  </cols>
  <sheetData>
    <row r="1" spans="1:7" ht="15.75">
      <c r="A1" s="747" t="s">
        <v>739</v>
      </c>
    </row>
    <row r="2" spans="1:7">
      <c r="A2" s="746" t="s">
        <v>740</v>
      </c>
    </row>
    <row r="6" spans="1:7" ht="15">
      <c r="A6" s="834" t="s">
        <v>741</v>
      </c>
      <c r="B6" s="834"/>
      <c r="C6" s="834"/>
      <c r="D6" s="834"/>
      <c r="E6" s="834"/>
      <c r="F6" s="834"/>
      <c r="G6" s="834"/>
    </row>
    <row r="8" spans="1:7" s="749" customFormat="1" ht="13.5" customHeight="1">
      <c r="A8" s="748" t="s">
        <v>522</v>
      </c>
      <c r="B8" s="835" t="s">
        <v>742</v>
      </c>
      <c r="C8" s="835"/>
      <c r="D8" s="835" t="s">
        <v>743</v>
      </c>
      <c r="E8" s="835"/>
      <c r="F8" s="835" t="s">
        <v>744</v>
      </c>
      <c r="G8" s="835"/>
    </row>
    <row r="9" spans="1:7" s="749" customFormat="1">
      <c r="A9" s="748" t="s">
        <v>745</v>
      </c>
      <c r="B9" s="748" t="s">
        <v>746</v>
      </c>
      <c r="C9" s="748" t="s">
        <v>498</v>
      </c>
      <c r="D9" s="748" t="s">
        <v>746</v>
      </c>
      <c r="E9" s="748" t="s">
        <v>498</v>
      </c>
      <c r="F9" s="748" t="s">
        <v>746</v>
      </c>
      <c r="G9" s="748" t="s">
        <v>498</v>
      </c>
    </row>
    <row r="10" spans="1:7">
      <c r="A10" s="750" t="s">
        <v>747</v>
      </c>
      <c r="B10" s="751">
        <v>5.3999999999999999E-2</v>
      </c>
      <c r="C10" s="751">
        <v>7.0000000000000007E-2</v>
      </c>
      <c r="D10" s="751">
        <v>0.1</v>
      </c>
      <c r="E10" s="751">
        <v>9.9000000000000005E-2</v>
      </c>
      <c r="F10" s="751">
        <v>7.4999999999999997E-2</v>
      </c>
      <c r="G10" s="751">
        <v>8.7499999999999994E-2</v>
      </c>
    </row>
    <row r="11" spans="1:7">
      <c r="A11" s="750" t="s">
        <v>748</v>
      </c>
      <c r="B11" s="751">
        <v>4.9000000000000002E-2</v>
      </c>
      <c r="C11" s="751">
        <v>6.5000000000000002E-2</v>
      </c>
      <c r="D11" s="751">
        <v>9.5000000000000001E-2</v>
      </c>
      <c r="E11" s="751">
        <v>9.4E-2</v>
      </c>
      <c r="F11" s="751">
        <v>7.0000000000000007E-2</v>
      </c>
      <c r="G11" s="751">
        <v>8.2500000000000004E-2</v>
      </c>
    </row>
    <row r="12" spans="1:7">
      <c r="A12" s="750" t="s">
        <v>749</v>
      </c>
      <c r="B12" s="751">
        <v>4.3999999999999997E-2</v>
      </c>
      <c r="C12" s="751">
        <v>0.06</v>
      </c>
      <c r="D12" s="751">
        <v>0.09</v>
      </c>
      <c r="E12" s="751">
        <v>8.8999999999999996E-2</v>
      </c>
      <c r="F12" s="751">
        <v>6.5000000000000002E-2</v>
      </c>
      <c r="G12" s="751">
        <v>7.7499999999999999E-2</v>
      </c>
    </row>
    <row r="13" spans="1:7">
      <c r="A13" s="750" t="s">
        <v>750</v>
      </c>
      <c r="B13" s="751">
        <v>3.9E-2</v>
      </c>
      <c r="C13" s="751">
        <v>5.5E-2</v>
      </c>
      <c r="D13" s="751">
        <v>8.5000000000000006E-2</v>
      </c>
      <c r="E13" s="751">
        <v>8.4000000000000005E-2</v>
      </c>
      <c r="F13" s="751">
        <v>0.06</v>
      </c>
      <c r="G13" s="751">
        <v>7.2499999999999995E-2</v>
      </c>
    </row>
    <row r="14" spans="1:7">
      <c r="A14" s="750" t="s">
        <v>751</v>
      </c>
      <c r="B14" s="751">
        <v>3.4000000000000002E-2</v>
      </c>
      <c r="C14" s="751">
        <v>0.05</v>
      </c>
      <c r="D14" s="751">
        <v>0.08</v>
      </c>
      <c r="E14" s="751">
        <v>7.9000000000000001E-2</v>
      </c>
      <c r="F14" s="751">
        <v>5.5E-2</v>
      </c>
      <c r="G14" s="751">
        <v>6.7500000000000004E-2</v>
      </c>
    </row>
    <row r="15" spans="1:7" ht="15.75" customHeight="1">
      <c r="A15" s="752" t="s">
        <v>501</v>
      </c>
      <c r="B15" s="836">
        <v>5.0000000000000001E-3</v>
      </c>
      <c r="C15" s="836"/>
      <c r="D15" s="836">
        <v>1.4999999999999999E-2</v>
      </c>
      <c r="E15" s="836"/>
      <c r="F15" s="836">
        <v>0.01</v>
      </c>
      <c r="G15" s="836"/>
    </row>
    <row r="16" spans="1:7">
      <c r="A16" s="752" t="s">
        <v>752</v>
      </c>
      <c r="B16" s="836">
        <v>3.5000000000000001E-3</v>
      </c>
      <c r="C16" s="836"/>
      <c r="D16" s="836">
        <v>2.4E-2</v>
      </c>
      <c r="E16" s="836"/>
      <c r="F16" s="836">
        <v>1.32E-2</v>
      </c>
      <c r="G16" s="836"/>
    </row>
    <row r="17" spans="1:7" ht="15.75" customHeight="1">
      <c r="A17" s="753" t="s">
        <v>752</v>
      </c>
      <c r="B17" s="837">
        <v>0</v>
      </c>
      <c r="C17" s="837"/>
      <c r="D17" s="837">
        <v>8.0999999999999996E-3</v>
      </c>
      <c r="E17" s="837"/>
      <c r="F17" s="837">
        <v>3.5999999999999999E-3</v>
      </c>
      <c r="G17" s="837"/>
    </row>
    <row r="18" spans="1:7">
      <c r="A18" s="753" t="s">
        <v>508</v>
      </c>
      <c r="B18" s="837">
        <v>0</v>
      </c>
      <c r="C18" s="837"/>
      <c r="D18" s="837">
        <v>4.1999999999999997E-3</v>
      </c>
      <c r="E18" s="837"/>
      <c r="F18" s="837">
        <v>2.0999999999999999E-3</v>
      </c>
      <c r="G18" s="837"/>
    </row>
    <row r="19" spans="1:7" ht="15.75" customHeight="1">
      <c r="A19" s="753" t="s">
        <v>510</v>
      </c>
      <c r="B19" s="837"/>
      <c r="C19" s="837"/>
      <c r="D19" s="837"/>
      <c r="E19" s="837"/>
      <c r="F19" s="837"/>
      <c r="G19" s="837"/>
    </row>
    <row r="20" spans="1:7" ht="23.1" customHeight="1">
      <c r="A20" s="754" t="s">
        <v>753</v>
      </c>
      <c r="B20" s="837">
        <v>3.5000000000000001E-3</v>
      </c>
      <c r="C20" s="837"/>
      <c r="D20" s="837">
        <v>8.5000000000000006E-3</v>
      </c>
      <c r="E20" s="837"/>
      <c r="F20" s="837">
        <v>6.4999999999999997E-3</v>
      </c>
      <c r="G20" s="837"/>
    </row>
    <row r="21" spans="1:7" ht="23.1" customHeight="1">
      <c r="A21" s="754" t="s">
        <v>754</v>
      </c>
      <c r="B21" s="837">
        <v>4.0000000000000001E-3</v>
      </c>
      <c r="C21" s="837"/>
      <c r="D21" s="837">
        <v>9.7999999999999997E-3</v>
      </c>
      <c r="E21" s="837"/>
      <c r="F21" s="837">
        <v>7.4999999999999997E-3</v>
      </c>
      <c r="G21" s="837"/>
    </row>
    <row r="22" spans="1:7" ht="33.75">
      <c r="A22" s="754" t="s">
        <v>755</v>
      </c>
      <c r="B22" s="837">
        <v>4.7999999999999996E-3</v>
      </c>
      <c r="C22" s="837"/>
      <c r="D22" s="837">
        <v>1.17E-2</v>
      </c>
      <c r="E22" s="837"/>
      <c r="F22" s="837">
        <v>8.9999999999999993E-3</v>
      </c>
      <c r="G22" s="837"/>
    </row>
    <row r="23" spans="1:7" ht="15.75" customHeight="1">
      <c r="A23" s="752" t="s">
        <v>511</v>
      </c>
      <c r="B23" s="836">
        <v>4.8500000000000001E-2</v>
      </c>
      <c r="C23" s="836"/>
      <c r="D23" s="836">
        <v>6.6500000000000004E-2</v>
      </c>
      <c r="E23" s="836"/>
      <c r="F23" s="836">
        <v>5.7500000000000002E-2</v>
      </c>
      <c r="G23" s="836"/>
    </row>
    <row r="24" spans="1:7" ht="15.75" customHeight="1">
      <c r="A24" s="755" t="s">
        <v>756</v>
      </c>
      <c r="B24" s="837">
        <v>1.2E-2</v>
      </c>
      <c r="C24" s="837"/>
      <c r="D24" s="837" t="s">
        <v>757</v>
      </c>
      <c r="E24" s="837"/>
      <c r="F24" s="837">
        <v>2.1000000000000001E-2</v>
      </c>
      <c r="G24" s="837"/>
    </row>
    <row r="25" spans="1:7" ht="15.75" customHeight="1">
      <c r="A25" s="750" t="s">
        <v>464</v>
      </c>
      <c r="B25" s="837">
        <v>6.4999999999999997E-3</v>
      </c>
      <c r="C25" s="837"/>
      <c r="D25" s="837">
        <v>6.4999999999999997E-3</v>
      </c>
      <c r="E25" s="837"/>
      <c r="F25" s="837">
        <v>6.4999999999999997E-3</v>
      </c>
      <c r="G25" s="837"/>
    </row>
    <row r="26" spans="1:7" ht="15.75" customHeight="1">
      <c r="A26" s="750" t="s">
        <v>467</v>
      </c>
      <c r="B26" s="837">
        <v>0.03</v>
      </c>
      <c r="C26" s="837"/>
      <c r="D26" s="837">
        <v>0.03</v>
      </c>
      <c r="E26" s="837"/>
      <c r="F26" s="837">
        <v>0.03</v>
      </c>
      <c r="G26" s="837"/>
    </row>
    <row r="27" spans="1:7" ht="15.75" customHeight="1">
      <c r="A27" s="752" t="s">
        <v>269</v>
      </c>
      <c r="B27" s="836"/>
      <c r="C27" s="836"/>
      <c r="D27" s="836"/>
      <c r="E27" s="836"/>
      <c r="F27" s="836"/>
      <c r="G27" s="836"/>
    </row>
    <row r="28" spans="1:7" ht="15.75" customHeight="1">
      <c r="A28" s="750" t="s">
        <v>747</v>
      </c>
      <c r="B28" s="836">
        <v>0.224</v>
      </c>
      <c r="C28" s="836"/>
      <c r="D28" s="836">
        <v>0.31900000000000001</v>
      </c>
      <c r="E28" s="836"/>
      <c r="F28" s="836">
        <v>0.26800000000000002</v>
      </c>
      <c r="G28" s="836"/>
    </row>
    <row r="29" spans="1:7">
      <c r="A29" s="750" t="s">
        <v>748</v>
      </c>
      <c r="B29" s="836">
        <v>0.21299999999999999</v>
      </c>
      <c r="C29" s="836"/>
      <c r="D29" s="836">
        <v>0.307</v>
      </c>
      <c r="E29" s="836"/>
      <c r="F29" s="836">
        <v>0.25700000000000001</v>
      </c>
      <c r="G29" s="836"/>
    </row>
    <row r="30" spans="1:7">
      <c r="A30" s="750" t="s">
        <v>749</v>
      </c>
      <c r="B30" s="836">
        <v>0.20100000000000001</v>
      </c>
      <c r="C30" s="836"/>
      <c r="D30" s="836">
        <v>0.29599999999999999</v>
      </c>
      <c r="E30" s="836"/>
      <c r="F30" s="836">
        <v>0.245</v>
      </c>
      <c r="G30" s="836"/>
    </row>
    <row r="31" spans="1:7" ht="15.75" customHeight="1">
      <c r="A31" s="750" t="s">
        <v>750</v>
      </c>
      <c r="B31" s="836">
        <v>0.19</v>
      </c>
      <c r="C31" s="836"/>
      <c r="D31" s="836">
        <v>0.28399999999999997</v>
      </c>
      <c r="E31" s="836"/>
      <c r="F31" s="836">
        <v>0.23300000000000001</v>
      </c>
      <c r="G31" s="836"/>
    </row>
    <row r="32" spans="1:7" ht="15.75" customHeight="1">
      <c r="A32" s="750" t="s">
        <v>751</v>
      </c>
      <c r="B32" s="836">
        <v>0.17899999999999999</v>
      </c>
      <c r="C32" s="836"/>
      <c r="D32" s="836">
        <v>0.27200000000000002</v>
      </c>
      <c r="E32" s="836"/>
      <c r="F32" s="836">
        <v>0.222</v>
      </c>
      <c r="G32" s="836"/>
    </row>
    <row r="33" spans="1:7">
      <c r="A33" s="746" t="s">
        <v>758</v>
      </c>
    </row>
    <row r="36" spans="1:7" ht="15">
      <c r="A36" s="834" t="s">
        <v>759</v>
      </c>
      <c r="B36" s="834"/>
      <c r="C36" s="834"/>
      <c r="D36" s="834"/>
      <c r="E36" s="834"/>
      <c r="F36" s="834"/>
      <c r="G36" s="834"/>
    </row>
    <row r="38" spans="1:7" ht="15.75" customHeight="1">
      <c r="A38" s="748" t="s">
        <v>522</v>
      </c>
      <c r="B38" s="835" t="s">
        <v>742</v>
      </c>
      <c r="C38" s="835"/>
      <c r="D38" s="835" t="s">
        <v>743</v>
      </c>
      <c r="E38" s="835"/>
      <c r="F38" s="835" t="s">
        <v>744</v>
      </c>
      <c r="G38" s="835"/>
    </row>
    <row r="39" spans="1:7">
      <c r="A39" s="748" t="s">
        <v>745</v>
      </c>
      <c r="B39" s="748" t="s">
        <v>746</v>
      </c>
      <c r="C39" s="748" t="s">
        <v>498</v>
      </c>
      <c r="D39" s="748" t="s">
        <v>746</v>
      </c>
      <c r="E39" s="748" t="s">
        <v>498</v>
      </c>
      <c r="F39" s="748" t="s">
        <v>746</v>
      </c>
      <c r="G39" s="748" t="s">
        <v>498</v>
      </c>
    </row>
    <row r="40" spans="1:7">
      <c r="A40" s="750" t="s">
        <v>747</v>
      </c>
      <c r="B40" s="751">
        <v>7.6999999999999999E-2</v>
      </c>
      <c r="C40" s="751">
        <v>9.9000000000000005E-2</v>
      </c>
      <c r="D40" s="751">
        <v>0.1</v>
      </c>
      <c r="E40" s="751">
        <v>0.1</v>
      </c>
      <c r="F40" s="751">
        <v>8.6999999999999994E-2</v>
      </c>
      <c r="G40" s="751">
        <v>9.1999999999999998E-2</v>
      </c>
    </row>
    <row r="41" spans="1:7">
      <c r="A41" s="750" t="s">
        <v>748</v>
      </c>
      <c r="B41" s="751">
        <v>7.1999999999999995E-2</v>
      </c>
      <c r="C41" s="751">
        <v>9.4E-2</v>
      </c>
      <c r="D41" s="751">
        <v>9.5000000000000001E-2</v>
      </c>
      <c r="E41" s="751">
        <v>9.5000000000000001E-2</v>
      </c>
      <c r="F41" s="751">
        <v>8.2000000000000003E-2</v>
      </c>
      <c r="G41" s="751">
        <v>8.6999999999999994E-2</v>
      </c>
    </row>
    <row r="42" spans="1:7">
      <c r="A42" s="756" t="s">
        <v>749</v>
      </c>
      <c r="B42" s="757">
        <v>6.7000000000000004E-2</v>
      </c>
      <c r="C42" s="757">
        <v>8.8999999999999996E-2</v>
      </c>
      <c r="D42" s="757">
        <v>0.09</v>
      </c>
      <c r="E42" s="757">
        <v>0.09</v>
      </c>
      <c r="F42" s="757">
        <v>7.6999999999999999E-2</v>
      </c>
      <c r="G42" s="757">
        <v>8.2000000000000003E-2</v>
      </c>
    </row>
    <row r="43" spans="1:7">
      <c r="A43" s="750" t="s">
        <v>750</v>
      </c>
      <c r="B43" s="751">
        <v>6.2E-2</v>
      </c>
      <c r="C43" s="751">
        <v>8.1000000000000003E-2</v>
      </c>
      <c r="D43" s="751">
        <v>8.5000000000000006E-2</v>
      </c>
      <c r="E43" s="751">
        <v>8.5000000000000006E-2</v>
      </c>
      <c r="F43" s="751">
        <v>7.1999999999999995E-2</v>
      </c>
      <c r="G43" s="751">
        <v>7.6999999999999999E-2</v>
      </c>
    </row>
    <row r="44" spans="1:7">
      <c r="A44" s="750" t="s">
        <v>751</v>
      </c>
      <c r="B44" s="751">
        <v>3.6999999999999998E-2</v>
      </c>
      <c r="C44" s="751">
        <v>7.9000000000000001E-2</v>
      </c>
      <c r="D44" s="751">
        <v>0.08</v>
      </c>
      <c r="E44" s="751">
        <v>0.08</v>
      </c>
      <c r="F44" s="751">
        <v>6.7000000000000004E-2</v>
      </c>
      <c r="G44" s="751">
        <v>7.1999999999999995E-2</v>
      </c>
    </row>
    <row r="45" spans="1:7" ht="15.75" customHeight="1">
      <c r="A45" s="752" t="s">
        <v>501</v>
      </c>
      <c r="B45" s="836">
        <v>5.0000000000000001E-3</v>
      </c>
      <c r="C45" s="836"/>
      <c r="D45" s="836">
        <v>1.4999999999999999E-2</v>
      </c>
      <c r="E45" s="836"/>
      <c r="F45" s="836">
        <v>0.01</v>
      </c>
      <c r="G45" s="836"/>
    </row>
    <row r="46" spans="1:7" ht="15.75" customHeight="1">
      <c r="A46" s="752" t="s">
        <v>752</v>
      </c>
      <c r="B46" s="836">
        <v>3.5000000000000001E-3</v>
      </c>
      <c r="C46" s="836"/>
      <c r="D46" s="836">
        <v>2.4E-2</v>
      </c>
      <c r="E46" s="836"/>
      <c r="F46" s="836">
        <v>1.32E-2</v>
      </c>
      <c r="G46" s="836"/>
    </row>
    <row r="47" spans="1:7">
      <c r="A47" s="758" t="s">
        <v>752</v>
      </c>
      <c r="B47" s="838">
        <v>0</v>
      </c>
      <c r="C47" s="838"/>
      <c r="D47" s="838">
        <v>8.0999999999999996E-3</v>
      </c>
      <c r="E47" s="838"/>
      <c r="F47" s="838">
        <v>3.5999999999999999E-3</v>
      </c>
      <c r="G47" s="838"/>
    </row>
    <row r="48" spans="1:7" ht="15.75" customHeight="1">
      <c r="A48" s="753" t="s">
        <v>508</v>
      </c>
      <c r="B48" s="837">
        <v>0</v>
      </c>
      <c r="C48" s="837"/>
      <c r="D48" s="837">
        <v>4.1999999999999997E-3</v>
      </c>
      <c r="E48" s="837"/>
      <c r="F48" s="837">
        <v>2.0999999999999999E-3</v>
      </c>
      <c r="G48" s="837"/>
    </row>
    <row r="49" spans="1:7" ht="15.75" customHeight="1">
      <c r="A49" s="753" t="s">
        <v>510</v>
      </c>
      <c r="B49" s="837"/>
      <c r="C49" s="837"/>
      <c r="D49" s="837"/>
      <c r="E49" s="837"/>
      <c r="F49" s="837"/>
      <c r="G49" s="837"/>
    </row>
    <row r="50" spans="1:7" ht="23.1" customHeight="1">
      <c r="A50" s="754" t="s">
        <v>753</v>
      </c>
      <c r="B50" s="837">
        <v>3.5000000000000001E-3</v>
      </c>
      <c r="C50" s="837"/>
      <c r="D50" s="837">
        <v>8.5000000000000006E-3</v>
      </c>
      <c r="E50" s="837"/>
      <c r="F50" s="837">
        <v>6.4999999999999997E-3</v>
      </c>
      <c r="G50" s="837"/>
    </row>
    <row r="51" spans="1:7" ht="23.1" customHeight="1">
      <c r="A51" s="754" t="s">
        <v>754</v>
      </c>
      <c r="B51" s="837">
        <v>4.0000000000000001E-3</v>
      </c>
      <c r="C51" s="837"/>
      <c r="D51" s="837">
        <v>9.7999999999999997E-3</v>
      </c>
      <c r="E51" s="837"/>
      <c r="F51" s="837">
        <v>7.4999999999999997E-3</v>
      </c>
      <c r="G51" s="837"/>
    </row>
    <row r="52" spans="1:7" ht="23.1" customHeight="1">
      <c r="A52" s="754" t="s">
        <v>755</v>
      </c>
      <c r="B52" s="837">
        <v>4.7999999999999996E-3</v>
      </c>
      <c r="C52" s="837"/>
      <c r="D52" s="837">
        <v>1.17E-2</v>
      </c>
      <c r="E52" s="837"/>
      <c r="F52" s="837">
        <v>8.9999999999999993E-3</v>
      </c>
      <c r="G52" s="837"/>
    </row>
    <row r="53" spans="1:7">
      <c r="A53" s="752" t="s">
        <v>511</v>
      </c>
      <c r="B53" s="836">
        <v>4.65E-2</v>
      </c>
      <c r="C53" s="836"/>
      <c r="D53" s="836">
        <v>6.1499999999999999E-2</v>
      </c>
      <c r="E53" s="836"/>
      <c r="F53" s="836">
        <v>5.3999999999999999E-2</v>
      </c>
      <c r="G53" s="836"/>
    </row>
    <row r="54" spans="1:7">
      <c r="A54" s="755" t="s">
        <v>756</v>
      </c>
      <c r="B54" s="837">
        <v>0.01</v>
      </c>
      <c r="C54" s="837"/>
      <c r="D54" s="837" t="s">
        <v>760</v>
      </c>
      <c r="E54" s="837"/>
      <c r="F54" s="837">
        <v>1.7500000000000002E-2</v>
      </c>
      <c r="G54" s="837"/>
    </row>
    <row r="55" spans="1:7" ht="15.75" customHeight="1">
      <c r="A55" s="750" t="s">
        <v>464</v>
      </c>
      <c r="B55" s="837">
        <v>6.4999999999999997E-3</v>
      </c>
      <c r="C55" s="837"/>
      <c r="D55" s="837">
        <v>6.4999999999999997E-3</v>
      </c>
      <c r="E55" s="837"/>
      <c r="F55" s="837">
        <v>6.4999999999999997E-3</v>
      </c>
      <c r="G55" s="837"/>
    </row>
    <row r="56" spans="1:7" ht="15.75" customHeight="1">
      <c r="A56" s="750" t="s">
        <v>467</v>
      </c>
      <c r="B56" s="837">
        <v>0.03</v>
      </c>
      <c r="C56" s="837"/>
      <c r="D56" s="837">
        <v>0.03</v>
      </c>
      <c r="E56" s="837"/>
      <c r="F56" s="837">
        <v>0.03</v>
      </c>
      <c r="G56" s="837"/>
    </row>
    <row r="57" spans="1:7" ht="15.75" customHeight="1">
      <c r="A57" s="752" t="s">
        <v>269</v>
      </c>
      <c r="B57" s="836"/>
      <c r="C57" s="836"/>
      <c r="D57" s="836"/>
      <c r="E57" s="836"/>
      <c r="F57" s="836"/>
      <c r="G57" s="836"/>
    </row>
    <row r="58" spans="1:7">
      <c r="A58" s="750" t="s">
        <v>747</v>
      </c>
      <c r="B58" s="836">
        <v>0.253</v>
      </c>
      <c r="C58" s="836"/>
      <c r="D58" s="836">
        <v>0.318</v>
      </c>
      <c r="E58" s="836"/>
      <c r="F58" s="836">
        <v>0.28299999999999997</v>
      </c>
      <c r="G58" s="836"/>
    </row>
    <row r="59" spans="1:7" ht="15.75" customHeight="1">
      <c r="A59" s="750" t="s">
        <v>748</v>
      </c>
      <c r="B59" s="836">
        <v>0.24199999999999999</v>
      </c>
      <c r="C59" s="836"/>
      <c r="D59" s="836">
        <v>0.30599999999999999</v>
      </c>
      <c r="E59" s="836"/>
      <c r="F59" s="836">
        <v>0.27100000000000002</v>
      </c>
      <c r="G59" s="836"/>
    </row>
    <row r="60" spans="1:7" ht="15.75" customHeight="1">
      <c r="A60" s="756" t="s">
        <v>749</v>
      </c>
      <c r="B60" s="839">
        <v>0.23</v>
      </c>
      <c r="C60" s="839"/>
      <c r="D60" s="839">
        <v>0.29399999999999998</v>
      </c>
      <c r="E60" s="839"/>
      <c r="F60" s="839">
        <v>0.25900000000000001</v>
      </c>
      <c r="G60" s="839"/>
    </row>
    <row r="61" spans="1:7" ht="15.75" customHeight="1">
      <c r="A61" s="750" t="s">
        <v>750</v>
      </c>
      <c r="B61" s="836">
        <v>0.219</v>
      </c>
      <c r="C61" s="836"/>
      <c r="D61" s="836">
        <v>0.28000000000000003</v>
      </c>
      <c r="E61" s="836"/>
      <c r="F61" s="836">
        <v>0.248</v>
      </c>
      <c r="G61" s="836"/>
    </row>
    <row r="62" spans="1:7" ht="15.75" customHeight="1">
      <c r="A62" s="750" t="s">
        <v>751</v>
      </c>
      <c r="B62" s="836">
        <v>0.20799999999999999</v>
      </c>
      <c r="C62" s="836"/>
      <c r="D62" s="836">
        <v>0.27</v>
      </c>
      <c r="E62" s="836"/>
      <c r="F62" s="836">
        <v>0.23599999999999999</v>
      </c>
      <c r="G62" s="836"/>
    </row>
    <row r="63" spans="1:7">
      <c r="A63" s="746" t="s">
        <v>758</v>
      </c>
    </row>
    <row r="66" spans="1:7" ht="15">
      <c r="A66" s="834" t="s">
        <v>761</v>
      </c>
      <c r="B66" s="834"/>
      <c r="C66" s="834"/>
      <c r="D66" s="834"/>
      <c r="E66" s="834"/>
      <c r="F66" s="834"/>
      <c r="G66" s="834"/>
    </row>
    <row r="68" spans="1:7" ht="15.75" customHeight="1">
      <c r="A68" s="748" t="s">
        <v>522</v>
      </c>
      <c r="B68" s="835" t="s">
        <v>742</v>
      </c>
      <c r="C68" s="835"/>
      <c r="D68" s="835" t="s">
        <v>743</v>
      </c>
      <c r="E68" s="835"/>
      <c r="F68" s="835" t="s">
        <v>744</v>
      </c>
      <c r="G68" s="835"/>
    </row>
    <row r="69" spans="1:7">
      <c r="A69" s="759" t="s">
        <v>762</v>
      </c>
      <c r="B69" s="836">
        <v>1.2999999999999999E-2</v>
      </c>
      <c r="C69" s="836"/>
      <c r="D69" s="836">
        <v>0.08</v>
      </c>
      <c r="E69" s="836"/>
      <c r="F69" s="836">
        <v>5.1999999999999998E-2</v>
      </c>
      <c r="G69" s="836"/>
    </row>
    <row r="70" spans="1:7" ht="15.75" customHeight="1">
      <c r="A70" s="759" t="s">
        <v>503</v>
      </c>
      <c r="B70" s="836">
        <v>0.5</v>
      </c>
      <c r="C70" s="836"/>
      <c r="D70" s="836">
        <v>1.4999999999999999E-2</v>
      </c>
      <c r="E70" s="836"/>
      <c r="F70" s="836">
        <v>0.01</v>
      </c>
      <c r="G70" s="836"/>
    </row>
    <row r="71" spans="1:7" ht="15.75" customHeight="1">
      <c r="A71" s="759" t="s">
        <v>763</v>
      </c>
      <c r="B71" s="836">
        <v>0.25</v>
      </c>
      <c r="C71" s="836"/>
      <c r="D71" s="836">
        <v>1.5299999999999999E-2</v>
      </c>
      <c r="E71" s="836"/>
      <c r="F71" s="840" t="s">
        <v>764</v>
      </c>
      <c r="G71" s="840"/>
    </row>
    <row r="72" spans="1:7" ht="15.75" customHeight="1">
      <c r="A72" s="750" t="s">
        <v>506</v>
      </c>
      <c r="B72" s="841">
        <v>0</v>
      </c>
      <c r="C72" s="841"/>
      <c r="D72" s="842" t="s">
        <v>765</v>
      </c>
      <c r="E72" s="842"/>
      <c r="F72" s="842" t="s">
        <v>766</v>
      </c>
      <c r="G72" s="842"/>
    </row>
    <row r="73" spans="1:7" ht="15.75" customHeight="1">
      <c r="A73" s="750" t="s">
        <v>508</v>
      </c>
      <c r="B73" s="841">
        <v>0</v>
      </c>
      <c r="C73" s="841"/>
      <c r="D73" s="842" t="s">
        <v>767</v>
      </c>
      <c r="E73" s="842"/>
      <c r="F73" s="842" t="s">
        <v>768</v>
      </c>
      <c r="G73" s="842"/>
    </row>
    <row r="74" spans="1:7" ht="15.75" customHeight="1">
      <c r="A74" s="750" t="s">
        <v>510</v>
      </c>
      <c r="B74" s="842" t="s">
        <v>769</v>
      </c>
      <c r="C74" s="842"/>
      <c r="D74" s="842" t="s">
        <v>770</v>
      </c>
      <c r="E74" s="842"/>
      <c r="F74" s="842" t="s">
        <v>771</v>
      </c>
      <c r="G74" s="842"/>
    </row>
    <row r="75" spans="1:7">
      <c r="A75" s="759" t="s">
        <v>772</v>
      </c>
      <c r="B75" s="836">
        <v>3.6499999999999998E-2</v>
      </c>
      <c r="C75" s="836"/>
      <c r="D75" s="836">
        <v>3.6499999999999998E-2</v>
      </c>
      <c r="E75" s="836"/>
      <c r="F75" s="836">
        <v>3.6499999999999998E-2</v>
      </c>
      <c r="G75" s="836"/>
    </row>
    <row r="76" spans="1:7" ht="15.75" customHeight="1">
      <c r="A76" s="750" t="s">
        <v>466</v>
      </c>
      <c r="B76" s="843">
        <v>0</v>
      </c>
      <c r="C76" s="843"/>
      <c r="D76" s="843">
        <v>0</v>
      </c>
      <c r="E76" s="843"/>
      <c r="F76" s="843">
        <v>0</v>
      </c>
      <c r="G76" s="843"/>
    </row>
    <row r="77" spans="1:7" ht="15.75" customHeight="1">
      <c r="A77" s="750" t="s">
        <v>464</v>
      </c>
      <c r="B77" s="843">
        <v>6.4999999999999997E-3</v>
      </c>
      <c r="C77" s="843"/>
      <c r="D77" s="843">
        <v>6.4999999999999997E-3</v>
      </c>
      <c r="E77" s="843"/>
      <c r="F77" s="843">
        <v>6.4999999999999997E-3</v>
      </c>
      <c r="G77" s="843"/>
    </row>
    <row r="78" spans="1:7" ht="15.75" customHeight="1">
      <c r="A78" s="750" t="s">
        <v>467</v>
      </c>
      <c r="B78" s="843">
        <v>0.03</v>
      </c>
      <c r="C78" s="843"/>
      <c r="D78" s="843">
        <v>0.03</v>
      </c>
      <c r="E78" s="843"/>
      <c r="F78" s="843">
        <v>0.03</v>
      </c>
      <c r="G78" s="843"/>
    </row>
    <row r="79" spans="1:7" ht="15.75" customHeight="1">
      <c r="A79" s="759" t="s">
        <v>500</v>
      </c>
      <c r="B79" s="845">
        <v>1.7500000000000002E-2</v>
      </c>
      <c r="C79" s="845"/>
      <c r="D79" s="845">
        <v>6.5000000000000002E-2</v>
      </c>
      <c r="E79" s="845"/>
      <c r="F79" s="845">
        <v>4.1000000000000002E-2</v>
      </c>
      <c r="G79" s="845"/>
    </row>
    <row r="80" spans="1:7" ht="15.75" customHeight="1">
      <c r="A80" s="760" t="s">
        <v>253</v>
      </c>
      <c r="B80" s="844">
        <v>0.105</v>
      </c>
      <c r="C80" s="844"/>
      <c r="D80" s="844">
        <v>0.19600000000000001</v>
      </c>
      <c r="E80" s="844"/>
      <c r="F80" s="844">
        <v>0.156</v>
      </c>
      <c r="G80" s="844"/>
    </row>
  </sheetData>
  <sheetProtection selectLockedCells="1" selectUnlockedCells="1"/>
  <mergeCells count="156">
    <mergeCell ref="B80:C80"/>
    <mergeCell ref="D80:E80"/>
    <mergeCell ref="F80:G80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A66:G66"/>
    <mergeCell ref="B68:C68"/>
    <mergeCell ref="D68:E68"/>
    <mergeCell ref="F68:G68"/>
    <mergeCell ref="B69:C69"/>
    <mergeCell ref="D69:E69"/>
    <mergeCell ref="F69:G69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32:C32"/>
    <mergeCell ref="D32:E32"/>
    <mergeCell ref="F32:G32"/>
    <mergeCell ref="A36:G36"/>
    <mergeCell ref="B38:C38"/>
    <mergeCell ref="D38:E38"/>
    <mergeCell ref="F38:G38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A6:G6"/>
    <mergeCell ref="B8:C8"/>
    <mergeCell ref="D8:E8"/>
    <mergeCell ref="F8:G8"/>
    <mergeCell ref="B15:C15"/>
    <mergeCell ref="D15:E15"/>
    <mergeCell ref="F15:G15"/>
  </mergeCells>
  <pageMargins left="0.78749999999999998" right="0.78749999999999998" top="1.0527777777777778" bottom="1.0527777777777778" header="0.78749999999999998" footer="0.78749999999999998"/>
  <pageSetup paperSize="9" scale="85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="85" zoomScaleSheetLayoutView="85" workbookViewId="0">
      <selection activeCell="A10" sqref="A10"/>
    </sheetView>
  </sheetViews>
  <sheetFormatPr defaultRowHeight="11.25"/>
  <cols>
    <col min="1" max="1" width="11.5703125" style="59" customWidth="1"/>
    <col min="2" max="2" width="11.140625" style="60" customWidth="1"/>
    <col min="3" max="3" width="60.5703125" style="60" customWidth="1"/>
    <col min="4" max="4" width="7.42578125" style="60" customWidth="1"/>
    <col min="5" max="5" width="11.140625" style="60" customWidth="1"/>
    <col min="6" max="6" width="10.5703125" style="61" customWidth="1"/>
    <col min="7" max="7" width="9.140625" style="60" customWidth="1"/>
    <col min="8" max="16384" width="9.140625" style="61"/>
  </cols>
  <sheetData>
    <row r="1" spans="1:7">
      <c r="A1" s="62" t="s">
        <v>2</v>
      </c>
      <c r="B1" s="62" t="s">
        <v>1</v>
      </c>
      <c r="C1" s="63" t="s">
        <v>182</v>
      </c>
      <c r="D1" s="64" t="s">
        <v>4</v>
      </c>
      <c r="E1" s="65" t="s">
        <v>183</v>
      </c>
    </row>
    <row r="2" spans="1:7" ht="24.75">
      <c r="A2" s="66">
        <v>14250</v>
      </c>
      <c r="B2" s="67" t="s">
        <v>184</v>
      </c>
      <c r="C2" s="68" t="s">
        <v>185</v>
      </c>
      <c r="D2" s="69" t="s">
        <v>186</v>
      </c>
      <c r="E2" s="70">
        <v>0.66</v>
      </c>
      <c r="F2" s="71" t="str">
        <f t="shared" ref="F2:F20" si="0">IF(G2&lt;&gt;E2,"ATUALIZADO","REVISAR")</f>
        <v>ATUALIZADO</v>
      </c>
      <c r="G2" s="70"/>
    </row>
    <row r="3" spans="1:7" ht="24.75">
      <c r="A3" s="66">
        <v>14583</v>
      </c>
      <c r="B3" s="67" t="s">
        <v>184</v>
      </c>
      <c r="C3" s="68" t="s">
        <v>187</v>
      </c>
      <c r="D3" s="69" t="s">
        <v>53</v>
      </c>
      <c r="E3" s="70">
        <v>12.48</v>
      </c>
      <c r="F3" s="71" t="str">
        <f t="shared" si="0"/>
        <v>ATUALIZADO</v>
      </c>
      <c r="G3" s="70"/>
    </row>
    <row r="4" spans="1:7" s="74" customFormat="1" ht="24.75">
      <c r="A4" s="72">
        <v>90777</v>
      </c>
      <c r="B4" s="67" t="s">
        <v>188</v>
      </c>
      <c r="C4" s="73" t="s">
        <v>189</v>
      </c>
      <c r="D4" s="69" t="s">
        <v>190</v>
      </c>
      <c r="E4" s="70">
        <v>64.75</v>
      </c>
      <c r="F4" s="71" t="str">
        <f t="shared" si="0"/>
        <v>ATUALIZADO</v>
      </c>
      <c r="G4" s="70"/>
    </row>
    <row r="5" spans="1:7" s="74" customFormat="1" ht="24.75">
      <c r="A5" s="72">
        <v>90780</v>
      </c>
      <c r="B5" s="67" t="s">
        <v>188</v>
      </c>
      <c r="C5" s="73" t="s">
        <v>191</v>
      </c>
      <c r="D5" s="69" t="s">
        <v>190</v>
      </c>
      <c r="E5" s="70">
        <v>39.71</v>
      </c>
      <c r="F5" s="71" t="str">
        <f t="shared" si="0"/>
        <v>ATUALIZADO</v>
      </c>
      <c r="G5" s="70"/>
    </row>
    <row r="6" spans="1:7" ht="24.75">
      <c r="A6" s="72">
        <v>88326</v>
      </c>
      <c r="B6" s="67" t="s">
        <v>188</v>
      </c>
      <c r="C6" s="73" t="s">
        <v>192</v>
      </c>
      <c r="D6" s="69" t="s">
        <v>190</v>
      </c>
      <c r="E6" s="70">
        <v>10.75</v>
      </c>
      <c r="F6" s="71" t="str">
        <f t="shared" si="0"/>
        <v>ATUALIZADO</v>
      </c>
      <c r="G6" s="70"/>
    </row>
    <row r="7" spans="1:7" ht="24.75">
      <c r="A7" s="75">
        <v>1419</v>
      </c>
      <c r="B7" s="67" t="s">
        <v>184</v>
      </c>
      <c r="C7" s="68" t="s">
        <v>193</v>
      </c>
      <c r="D7" s="69" t="s">
        <v>194</v>
      </c>
      <c r="E7" s="76">
        <v>4.0199999999999996</v>
      </c>
      <c r="F7" s="71" t="str">
        <f t="shared" si="0"/>
        <v>ATUALIZADO</v>
      </c>
      <c r="G7" s="76"/>
    </row>
    <row r="8" spans="1:7" ht="24.75">
      <c r="A8" s="75">
        <v>95</v>
      </c>
      <c r="B8" s="67" t="s">
        <v>184</v>
      </c>
      <c r="C8" s="68" t="s">
        <v>195</v>
      </c>
      <c r="D8" s="69" t="s">
        <v>194</v>
      </c>
      <c r="E8" s="76">
        <v>9.8000000000000007</v>
      </c>
      <c r="F8" s="71" t="str">
        <f t="shared" si="0"/>
        <v>ATUALIZADO</v>
      </c>
      <c r="G8" s="76"/>
    </row>
    <row r="9" spans="1:7" ht="24.75">
      <c r="A9" s="77">
        <v>9867</v>
      </c>
      <c r="B9" s="67" t="s">
        <v>184</v>
      </c>
      <c r="C9" s="68" t="s">
        <v>196</v>
      </c>
      <c r="D9" s="69" t="s">
        <v>112</v>
      </c>
      <c r="E9" s="78">
        <v>1.98</v>
      </c>
      <c r="F9" s="71" t="str">
        <f t="shared" si="0"/>
        <v>ATUALIZADO</v>
      </c>
      <c r="G9" s="78"/>
    </row>
    <row r="10" spans="1:7" ht="24.75">
      <c r="A10" s="77">
        <v>6029</v>
      </c>
      <c r="B10" s="67" t="s">
        <v>184</v>
      </c>
      <c r="C10" s="68" t="s">
        <v>197</v>
      </c>
      <c r="D10" s="69" t="s">
        <v>194</v>
      </c>
      <c r="E10" s="78">
        <v>12.85</v>
      </c>
      <c r="F10" s="71" t="str">
        <f t="shared" si="0"/>
        <v>ATUALIZADO</v>
      </c>
      <c r="G10" s="78"/>
    </row>
    <row r="11" spans="1:7" ht="24.75">
      <c r="A11" s="77">
        <v>11882</v>
      </c>
      <c r="B11" s="67" t="s">
        <v>184</v>
      </c>
      <c r="C11" s="68" t="s">
        <v>198</v>
      </c>
      <c r="D11" s="69" t="s">
        <v>194</v>
      </c>
      <c r="E11" s="78">
        <v>64.84</v>
      </c>
      <c r="F11" s="71" t="str">
        <f t="shared" si="0"/>
        <v>ATUALIZADO</v>
      </c>
      <c r="G11" s="78">
        <v>57.47</v>
      </c>
    </row>
    <row r="12" spans="1:7" ht="24.75">
      <c r="A12" s="77">
        <v>10780</v>
      </c>
      <c r="B12" s="67" t="s">
        <v>184</v>
      </c>
      <c r="C12" s="68" t="s">
        <v>199</v>
      </c>
      <c r="D12" s="69" t="s">
        <v>194</v>
      </c>
      <c r="E12" s="78">
        <v>4.05</v>
      </c>
      <c r="F12" s="71" t="str">
        <f t="shared" si="0"/>
        <v>ATUALIZADO</v>
      </c>
      <c r="G12" s="78">
        <v>3.94</v>
      </c>
    </row>
    <row r="13" spans="1:7" ht="24.75">
      <c r="A13" s="77">
        <v>12770</v>
      </c>
      <c r="B13" s="67" t="s">
        <v>184</v>
      </c>
      <c r="C13" s="68" t="s">
        <v>200</v>
      </c>
      <c r="D13" s="69" t="s">
        <v>194</v>
      </c>
      <c r="E13" s="78">
        <v>375.92</v>
      </c>
      <c r="F13" s="71" t="str">
        <f t="shared" si="0"/>
        <v>ATUALIZADO</v>
      </c>
      <c r="G13" s="78">
        <v>341.75</v>
      </c>
    </row>
    <row r="14" spans="1:7" ht="24.75">
      <c r="A14" s="72">
        <v>88309</v>
      </c>
      <c r="B14" s="67" t="s">
        <v>188</v>
      </c>
      <c r="C14" s="73" t="s">
        <v>201</v>
      </c>
      <c r="D14" s="69" t="s">
        <v>190</v>
      </c>
      <c r="E14" s="79">
        <v>13.76</v>
      </c>
      <c r="F14" s="71" t="str">
        <f t="shared" si="0"/>
        <v>ATUALIZADO</v>
      </c>
      <c r="G14" s="79">
        <v>14.81</v>
      </c>
    </row>
    <row r="15" spans="1:7" ht="24.75">
      <c r="A15" s="72">
        <v>88316</v>
      </c>
      <c r="B15" s="67" t="s">
        <v>188</v>
      </c>
      <c r="C15" s="80" t="s">
        <v>202</v>
      </c>
      <c r="D15" s="69" t="s">
        <v>190</v>
      </c>
      <c r="E15" s="79">
        <v>11.2</v>
      </c>
      <c r="F15" s="71" t="str">
        <f t="shared" si="0"/>
        <v>ATUALIZADO</v>
      </c>
      <c r="G15" s="79">
        <v>12.23</v>
      </c>
    </row>
    <row r="16" spans="1:7" ht="24.75">
      <c r="A16" s="72">
        <v>367</v>
      </c>
      <c r="B16" s="67" t="s">
        <v>184</v>
      </c>
      <c r="C16" s="81" t="s">
        <v>203</v>
      </c>
      <c r="D16" s="69" t="s">
        <v>53</v>
      </c>
      <c r="E16" s="82">
        <v>60</v>
      </c>
      <c r="F16" s="71" t="str">
        <f t="shared" si="0"/>
        <v>ATUALIZADO</v>
      </c>
      <c r="G16" s="82"/>
    </row>
    <row r="17" spans="1:7" ht="33.75">
      <c r="A17" s="72">
        <v>36196</v>
      </c>
      <c r="B17" s="67" t="s">
        <v>184</v>
      </c>
      <c r="C17" s="81" t="s">
        <v>204</v>
      </c>
      <c r="D17" s="69" t="s">
        <v>17</v>
      </c>
      <c r="E17" s="82">
        <v>40.659999999999997</v>
      </c>
      <c r="F17" s="71" t="str">
        <f t="shared" si="0"/>
        <v>ATUALIZADO</v>
      </c>
      <c r="G17" s="82">
        <v>54.5</v>
      </c>
    </row>
    <row r="18" spans="1:7" ht="24.75">
      <c r="A18" s="72">
        <v>88260</v>
      </c>
      <c r="B18" s="67" t="s">
        <v>188</v>
      </c>
      <c r="C18" s="73" t="s">
        <v>205</v>
      </c>
      <c r="D18" s="69" t="s">
        <v>190</v>
      </c>
      <c r="E18" s="70">
        <v>12.94</v>
      </c>
      <c r="F18" s="71" t="str">
        <f t="shared" si="0"/>
        <v>ATUALIZADO</v>
      </c>
      <c r="G18" s="70">
        <v>13.98</v>
      </c>
    </row>
    <row r="19" spans="1:7" ht="24.75">
      <c r="A19" s="72">
        <v>1443</v>
      </c>
      <c r="B19" s="67" t="s">
        <v>184</v>
      </c>
      <c r="C19" s="80" t="s">
        <v>206</v>
      </c>
      <c r="D19" s="69" t="s">
        <v>190</v>
      </c>
      <c r="E19" s="70">
        <v>2.7</v>
      </c>
      <c r="F19" s="71" t="str">
        <f t="shared" si="0"/>
        <v>ATUALIZADO</v>
      </c>
      <c r="G19" s="70">
        <v>4.95</v>
      </c>
    </row>
    <row r="20" spans="1:7" ht="24.75">
      <c r="A20" s="72" t="s">
        <v>207</v>
      </c>
      <c r="B20" s="67" t="s">
        <v>188</v>
      </c>
      <c r="C20" s="81" t="s">
        <v>208</v>
      </c>
      <c r="D20" s="69" t="s">
        <v>17</v>
      </c>
      <c r="E20" s="82">
        <v>40.54</v>
      </c>
      <c r="F20" s="71" t="str">
        <f t="shared" si="0"/>
        <v>REVISAR</v>
      </c>
      <c r="G20" s="82">
        <v>40.54</v>
      </c>
    </row>
    <row r="21" spans="1:7">
      <c r="A21" s="72"/>
      <c r="B21" s="67"/>
      <c r="C21" s="81"/>
      <c r="D21" s="69"/>
      <c r="E21" s="82"/>
      <c r="F21" s="71"/>
      <c r="G21" s="82"/>
    </row>
    <row r="22" spans="1:7" ht="24.75">
      <c r="A22" s="72">
        <v>92874</v>
      </c>
      <c r="B22" s="67" t="s">
        <v>188</v>
      </c>
      <c r="C22" s="81" t="s">
        <v>89</v>
      </c>
      <c r="D22" s="69" t="s">
        <v>53</v>
      </c>
      <c r="E22" s="82">
        <v>19.190000000000001</v>
      </c>
      <c r="F22" s="71" t="str">
        <f t="shared" ref="F22:F46" si="1">IF(G22&lt;&gt;E22,"ATUALIZADO","REVISAR")</f>
        <v>ATUALIZADO</v>
      </c>
      <c r="G22" s="82">
        <v>79.78</v>
      </c>
    </row>
    <row r="23" spans="1:7" ht="24.75">
      <c r="A23" s="72">
        <v>87316</v>
      </c>
      <c r="B23" s="67" t="s">
        <v>184</v>
      </c>
      <c r="C23" s="81" t="s">
        <v>209</v>
      </c>
      <c r="D23" s="69" t="s">
        <v>53</v>
      </c>
      <c r="E23" s="82">
        <v>312.19</v>
      </c>
      <c r="F23" s="71" t="str">
        <f t="shared" si="1"/>
        <v>REVISAR</v>
      </c>
      <c r="G23" s="82">
        <v>312.19</v>
      </c>
    </row>
    <row r="24" spans="1:7" ht="24.75">
      <c r="A24" s="72" t="s">
        <v>210</v>
      </c>
      <c r="B24" s="67" t="s">
        <v>184</v>
      </c>
      <c r="C24" s="81" t="s">
        <v>211</v>
      </c>
      <c r="D24" s="69" t="s">
        <v>53</v>
      </c>
      <c r="E24" s="82">
        <v>397.99</v>
      </c>
      <c r="F24" s="71" t="str">
        <f t="shared" si="1"/>
        <v>REVISAR</v>
      </c>
      <c r="G24" s="82">
        <v>397.99</v>
      </c>
    </row>
    <row r="25" spans="1:7" ht="24.75">
      <c r="A25" s="72">
        <v>2682</v>
      </c>
      <c r="B25" s="67" t="s">
        <v>184</v>
      </c>
      <c r="C25" s="83" t="s">
        <v>212</v>
      </c>
      <c r="D25" s="69" t="s">
        <v>112</v>
      </c>
      <c r="E25" s="84">
        <v>15.84</v>
      </c>
      <c r="F25" s="71" t="str">
        <f t="shared" si="1"/>
        <v>REVISAR</v>
      </c>
      <c r="G25" s="84">
        <v>15.84</v>
      </c>
    </row>
    <row r="26" spans="1:7" ht="24.75">
      <c r="A26" s="72">
        <v>1907</v>
      </c>
      <c r="B26" s="67" t="s">
        <v>184</v>
      </c>
      <c r="C26" s="68" t="s">
        <v>213</v>
      </c>
      <c r="D26" s="69" t="s">
        <v>194</v>
      </c>
      <c r="E26" s="84">
        <v>19.77</v>
      </c>
      <c r="F26" s="71" t="str">
        <f t="shared" si="1"/>
        <v>REVISAR</v>
      </c>
      <c r="G26" s="84">
        <v>19.77</v>
      </c>
    </row>
    <row r="27" spans="1:7" ht="24.75">
      <c r="A27" s="85">
        <v>88264</v>
      </c>
      <c r="B27" s="67" t="s">
        <v>184</v>
      </c>
      <c r="C27" s="73" t="s">
        <v>214</v>
      </c>
      <c r="D27" s="69" t="s">
        <v>190</v>
      </c>
      <c r="E27" s="70">
        <v>14.81</v>
      </c>
      <c r="F27" s="71" t="str">
        <f t="shared" si="1"/>
        <v>REVISAR</v>
      </c>
      <c r="G27" s="70">
        <v>14.81</v>
      </c>
    </row>
    <row r="28" spans="1:7" ht="24.75">
      <c r="A28" s="85">
        <v>88247</v>
      </c>
      <c r="B28" s="67" t="s">
        <v>184</v>
      </c>
      <c r="C28" s="73" t="s">
        <v>215</v>
      </c>
      <c r="D28" s="69" t="s">
        <v>190</v>
      </c>
      <c r="E28" s="70">
        <v>12.23</v>
      </c>
      <c r="F28" s="71" t="str">
        <f t="shared" si="1"/>
        <v>REVISAR</v>
      </c>
      <c r="G28" s="70">
        <v>12.23</v>
      </c>
    </row>
    <row r="29" spans="1:7" ht="24.75">
      <c r="A29" s="69">
        <v>73613</v>
      </c>
      <c r="B29" s="67" t="s">
        <v>184</v>
      </c>
      <c r="C29" s="86" t="s">
        <v>216</v>
      </c>
      <c r="D29" s="69" t="s">
        <v>112</v>
      </c>
      <c r="E29" s="87">
        <v>10.53</v>
      </c>
      <c r="F29" s="71" t="str">
        <f t="shared" si="1"/>
        <v>REVISAR</v>
      </c>
      <c r="G29" s="87">
        <v>10.53</v>
      </c>
    </row>
    <row r="30" spans="1:7" ht="24.75">
      <c r="A30" s="75" t="s">
        <v>51</v>
      </c>
      <c r="B30" s="67" t="s">
        <v>184</v>
      </c>
      <c r="C30" s="88" t="s">
        <v>52</v>
      </c>
      <c r="D30" s="69" t="s">
        <v>30</v>
      </c>
      <c r="E30" s="87">
        <v>24.47</v>
      </c>
      <c r="F30" s="71" t="str">
        <f t="shared" si="1"/>
        <v>REVISAR</v>
      </c>
      <c r="G30" s="87">
        <v>24.47</v>
      </c>
    </row>
    <row r="31" spans="1:7" ht="24.75">
      <c r="A31" s="89" t="s">
        <v>217</v>
      </c>
      <c r="B31" s="67" t="s">
        <v>184</v>
      </c>
      <c r="C31" s="90" t="s">
        <v>218</v>
      </c>
      <c r="D31" s="69" t="s">
        <v>219</v>
      </c>
      <c r="E31" s="87">
        <v>319.29000000000002</v>
      </c>
      <c r="F31" s="71" t="str">
        <f t="shared" si="1"/>
        <v>REVISAR</v>
      </c>
      <c r="G31" s="87">
        <v>319.29000000000002</v>
      </c>
    </row>
    <row r="32" spans="1:7" ht="24.75">
      <c r="A32" s="69">
        <v>83448</v>
      </c>
      <c r="B32" s="67" t="s">
        <v>184</v>
      </c>
      <c r="C32" s="86" t="s">
        <v>220</v>
      </c>
      <c r="D32" s="69" t="s">
        <v>194</v>
      </c>
      <c r="E32" s="87">
        <v>199.23</v>
      </c>
      <c r="F32" s="71" t="str">
        <f t="shared" si="1"/>
        <v>REVISAR</v>
      </c>
      <c r="G32" s="87">
        <v>199.23</v>
      </c>
    </row>
    <row r="33" spans="1:7" ht="24.75">
      <c r="A33" s="72">
        <v>1791</v>
      </c>
      <c r="B33" s="67" t="s">
        <v>184</v>
      </c>
      <c r="C33" s="83" t="s">
        <v>221</v>
      </c>
      <c r="D33" s="69" t="s">
        <v>222</v>
      </c>
      <c r="E33" s="84">
        <v>73.12</v>
      </c>
      <c r="F33" s="71" t="str">
        <f t="shared" si="1"/>
        <v>REVISAR</v>
      </c>
      <c r="G33" s="84">
        <v>73.12</v>
      </c>
    </row>
    <row r="34" spans="1:7" ht="24.75">
      <c r="A34" s="72">
        <v>5037</v>
      </c>
      <c r="B34" s="67" t="s">
        <v>184</v>
      </c>
      <c r="C34" s="83" t="s">
        <v>223</v>
      </c>
      <c r="D34" s="69" t="s">
        <v>222</v>
      </c>
      <c r="E34" s="84">
        <v>232.87</v>
      </c>
      <c r="F34" s="71" t="str">
        <f t="shared" si="1"/>
        <v>REVISAR</v>
      </c>
      <c r="G34" s="84">
        <v>232.87</v>
      </c>
    </row>
    <row r="35" spans="1:7" ht="24.75">
      <c r="A35" s="72">
        <v>6045</v>
      </c>
      <c r="B35" s="67" t="s">
        <v>184</v>
      </c>
      <c r="C35" s="83" t="s">
        <v>224</v>
      </c>
      <c r="D35" s="69" t="s">
        <v>53</v>
      </c>
      <c r="E35" s="84">
        <v>345.06</v>
      </c>
      <c r="F35" s="71" t="str">
        <f t="shared" si="1"/>
        <v>REVISAR</v>
      </c>
      <c r="G35" s="84">
        <v>345.06</v>
      </c>
    </row>
    <row r="36" spans="1:7" ht="24.75">
      <c r="A36" s="72">
        <v>406</v>
      </c>
      <c r="B36" s="67" t="s">
        <v>184</v>
      </c>
      <c r="C36" s="83" t="s">
        <v>225</v>
      </c>
      <c r="D36" s="69" t="s">
        <v>222</v>
      </c>
      <c r="E36" s="84">
        <v>52.36</v>
      </c>
      <c r="F36" s="71" t="str">
        <f t="shared" si="1"/>
        <v>REVISAR</v>
      </c>
      <c r="G36" s="84">
        <v>52.36</v>
      </c>
    </row>
    <row r="37" spans="1:7" ht="24.75">
      <c r="A37" s="69" t="s">
        <v>226</v>
      </c>
      <c r="B37" s="67" t="s">
        <v>184</v>
      </c>
      <c r="C37" s="68" t="s">
        <v>227</v>
      </c>
      <c r="D37" s="69" t="s">
        <v>190</v>
      </c>
      <c r="E37" s="91">
        <v>33.76</v>
      </c>
      <c r="F37" s="71" t="str">
        <f t="shared" si="1"/>
        <v>REVISAR</v>
      </c>
      <c r="G37" s="91">
        <v>33.76</v>
      </c>
    </row>
    <row r="38" spans="1:7" ht="24.75">
      <c r="A38" s="69">
        <v>73355</v>
      </c>
      <c r="B38" s="67" t="s">
        <v>184</v>
      </c>
      <c r="C38" s="68" t="s">
        <v>228</v>
      </c>
      <c r="D38" s="69" t="s">
        <v>190</v>
      </c>
      <c r="E38" s="91">
        <v>53.45</v>
      </c>
      <c r="F38" s="71" t="str">
        <f t="shared" si="1"/>
        <v>REVISAR</v>
      </c>
      <c r="G38" s="91">
        <v>53.45</v>
      </c>
    </row>
    <row r="39" spans="1:7" ht="24.75">
      <c r="A39" s="72" t="s">
        <v>229</v>
      </c>
      <c r="B39" s="67" t="s">
        <v>184</v>
      </c>
      <c r="C39" s="83" t="s">
        <v>230</v>
      </c>
      <c r="D39" s="69" t="s">
        <v>112</v>
      </c>
      <c r="E39" s="84">
        <v>117.64</v>
      </c>
      <c r="F39" s="71" t="str">
        <f t="shared" si="1"/>
        <v>REVISAR</v>
      </c>
      <c r="G39" s="84">
        <v>117.64</v>
      </c>
    </row>
    <row r="40" spans="1:7" ht="24.75">
      <c r="A40" s="72">
        <v>83401</v>
      </c>
      <c r="B40" s="67" t="s">
        <v>184</v>
      </c>
      <c r="C40" s="83" t="s">
        <v>231</v>
      </c>
      <c r="D40" s="69" t="s">
        <v>222</v>
      </c>
      <c r="E40" s="84">
        <v>180.31</v>
      </c>
      <c r="F40" s="71" t="str">
        <f t="shared" si="1"/>
        <v>REVISAR</v>
      </c>
      <c r="G40" s="84">
        <v>180.31</v>
      </c>
    </row>
    <row r="41" spans="1:7" ht="24.75">
      <c r="A41" s="72" t="s">
        <v>232</v>
      </c>
      <c r="B41" s="67" t="s">
        <v>184</v>
      </c>
      <c r="C41" s="83" t="s">
        <v>233</v>
      </c>
      <c r="D41" s="69" t="s">
        <v>222</v>
      </c>
      <c r="E41" s="84">
        <v>365.63</v>
      </c>
      <c r="F41" s="71" t="str">
        <f t="shared" si="1"/>
        <v>REVISAR</v>
      </c>
      <c r="G41" s="84">
        <v>365.63</v>
      </c>
    </row>
    <row r="42" spans="1:7" ht="33.75">
      <c r="A42" s="69">
        <v>83475</v>
      </c>
      <c r="B42" s="67" t="s">
        <v>184</v>
      </c>
      <c r="C42" s="68" t="s">
        <v>234</v>
      </c>
      <c r="D42" s="69" t="s">
        <v>222</v>
      </c>
      <c r="E42" s="92">
        <v>394.82</v>
      </c>
      <c r="F42" s="71" t="str">
        <f t="shared" si="1"/>
        <v>REVISAR</v>
      </c>
      <c r="G42" s="92">
        <v>394.82</v>
      </c>
    </row>
    <row r="43" spans="1:7" ht="24.75">
      <c r="A43" s="93">
        <v>83402</v>
      </c>
      <c r="B43" s="67" t="s">
        <v>184</v>
      </c>
      <c r="C43" s="68" t="s">
        <v>235</v>
      </c>
      <c r="D43" s="69" t="s">
        <v>222</v>
      </c>
      <c r="E43" s="92">
        <v>39.51</v>
      </c>
      <c r="F43" s="71" t="str">
        <f t="shared" si="1"/>
        <v>REVISAR</v>
      </c>
      <c r="G43" s="92">
        <v>39.51</v>
      </c>
    </row>
    <row r="44" spans="1:7" ht="24.75">
      <c r="A44" s="75" t="s">
        <v>236</v>
      </c>
      <c r="B44" s="67" t="s">
        <v>184</v>
      </c>
      <c r="C44" s="68" t="s">
        <v>237</v>
      </c>
      <c r="D44" s="94" t="s">
        <v>238</v>
      </c>
      <c r="E44" s="78">
        <v>919.5</v>
      </c>
      <c r="F44" s="71" t="str">
        <f t="shared" si="1"/>
        <v>REVISAR</v>
      </c>
      <c r="G44" s="78">
        <v>919.5</v>
      </c>
    </row>
    <row r="45" spans="1:7" ht="24.75">
      <c r="A45" s="72"/>
      <c r="B45" s="67" t="s">
        <v>184</v>
      </c>
      <c r="C45" s="95" t="s">
        <v>239</v>
      </c>
      <c r="D45" s="69" t="s">
        <v>194</v>
      </c>
      <c r="E45" s="76">
        <v>476.5</v>
      </c>
      <c r="F45" s="71" t="str">
        <f t="shared" si="1"/>
        <v>REVISAR</v>
      </c>
      <c r="G45" s="76">
        <v>476.5</v>
      </c>
    </row>
    <row r="46" spans="1:7" ht="24.75">
      <c r="A46" s="75">
        <v>13405</v>
      </c>
      <c r="B46" s="67" t="s">
        <v>184</v>
      </c>
      <c r="C46" s="68" t="s">
        <v>240</v>
      </c>
      <c r="D46" s="94" t="s">
        <v>194</v>
      </c>
      <c r="E46" s="78">
        <v>234.72</v>
      </c>
      <c r="F46" s="71" t="str">
        <f t="shared" si="1"/>
        <v>REVISAR</v>
      </c>
      <c r="G46" s="78">
        <v>234.72</v>
      </c>
    </row>
  </sheetData>
  <sheetProtection selectLockedCells="1" selectUnlockedCells="1"/>
  <autoFilter ref="A1:E1"/>
  <conditionalFormatting sqref="C1:C1048576">
    <cfRule type="expression" dxfId="1" priority="1" stopIfTrue="1">
      <formula>AND(COUNTIF($C:$C,C1)&gt;1,NOT(ISBLANK(C1)))</formula>
    </cfRule>
  </conditionalFormatting>
  <pageMargins left="0.51180555555555551" right="0.51180555555555551" top="0.78749999999999998" bottom="0.78749999999999998" header="0.51180555555555551" footer="0.51180555555555551"/>
  <pageSetup paperSize="9" scale="81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5" zoomScaleNormal="80" zoomScaleSheetLayoutView="85" workbookViewId="0">
      <selection activeCell="A3" sqref="A3"/>
    </sheetView>
  </sheetViews>
  <sheetFormatPr defaultColWidth="9" defaultRowHeight="15"/>
  <cols>
    <col min="1" max="1" width="9" customWidth="1"/>
    <col min="2" max="2" width="62.5703125" customWidth="1"/>
    <col min="3" max="4" width="18.140625" customWidth="1"/>
    <col min="5" max="5" width="13.42578125" customWidth="1"/>
    <col min="6" max="6" width="6.5703125" customWidth="1"/>
    <col min="7" max="7" width="16.42578125" customWidth="1"/>
    <col min="8" max="8" width="15.28515625" customWidth="1"/>
  </cols>
  <sheetData>
    <row r="1" spans="1:8">
      <c r="B1" s="96"/>
      <c r="C1" s="96"/>
      <c r="D1" s="96"/>
      <c r="E1" s="96"/>
      <c r="F1" s="96"/>
      <c r="G1" s="96"/>
      <c r="H1" s="96"/>
    </row>
    <row r="2" spans="1:8">
      <c r="E2" s="97"/>
      <c r="F2" s="97"/>
      <c r="G2" s="97"/>
      <c r="H2" s="97"/>
    </row>
    <row r="3" spans="1:8" ht="15" customHeight="1">
      <c r="A3" s="764" t="s">
        <v>241</v>
      </c>
      <c r="B3" s="764"/>
      <c r="C3" s="764"/>
      <c r="D3" s="764"/>
      <c r="E3" s="764"/>
      <c r="F3" s="98"/>
      <c r="G3" s="98"/>
      <c r="H3" s="98"/>
    </row>
    <row r="4" spans="1:8">
      <c r="B4" s="98"/>
      <c r="C4" s="98"/>
      <c r="D4" s="98"/>
      <c r="E4" s="98"/>
      <c r="F4" s="98"/>
      <c r="G4" s="98"/>
      <c r="H4" s="98"/>
    </row>
    <row r="5" spans="1:8">
      <c r="B5" s="98"/>
      <c r="C5" s="98"/>
      <c r="D5" s="98"/>
      <c r="E5" s="98"/>
      <c r="F5" s="98"/>
      <c r="G5" s="98"/>
      <c r="H5" s="98"/>
    </row>
    <row r="6" spans="1:8">
      <c r="B6" s="98"/>
      <c r="C6" s="98"/>
      <c r="D6" s="98"/>
      <c r="E6" s="98"/>
      <c r="F6" s="98"/>
      <c r="G6" s="98"/>
      <c r="H6" s="98"/>
    </row>
    <row r="7" spans="1:8" ht="15" customHeight="1">
      <c r="A7" s="99" t="s">
        <v>242</v>
      </c>
      <c r="B7" s="100" t="s">
        <v>243</v>
      </c>
      <c r="D7" s="101" t="s">
        <v>244</v>
      </c>
      <c r="E7" s="97" t="s">
        <v>245</v>
      </c>
      <c r="F7" s="102"/>
      <c r="H7" s="103"/>
    </row>
    <row r="8" spans="1:8">
      <c r="A8" s="104" t="s">
        <v>246</v>
      </c>
      <c r="B8" s="105" t="s">
        <v>247</v>
      </c>
      <c r="D8" s="106" t="s">
        <v>248</v>
      </c>
      <c r="E8" s="107">
        <f ca="1">TODAY()</f>
        <v>45054</v>
      </c>
      <c r="H8" s="103"/>
    </row>
    <row r="10" spans="1:8" ht="15" customHeight="1">
      <c r="B10" s="765"/>
      <c r="C10" s="765"/>
      <c r="D10" s="765"/>
      <c r="E10" s="765"/>
    </row>
    <row r="11" spans="1:8" ht="15" customHeight="1">
      <c r="A11" s="766" t="s">
        <v>0</v>
      </c>
      <c r="B11" s="766" t="s">
        <v>249</v>
      </c>
      <c r="C11" s="767" t="s">
        <v>250</v>
      </c>
      <c r="D11" s="767" t="s">
        <v>251</v>
      </c>
      <c r="E11" s="766" t="s">
        <v>252</v>
      </c>
    </row>
    <row r="12" spans="1:8">
      <c r="A12" s="766"/>
      <c r="B12" s="766"/>
      <c r="C12" s="767"/>
      <c r="D12" s="767"/>
      <c r="E12" s="766"/>
    </row>
    <row r="13" spans="1:8" s="113" customFormat="1" ht="29.1" customHeight="1">
      <c r="A13" s="109" t="str">
        <f>'ORÇAMENTO SEM BDI'!A9</f>
        <v>1.0</v>
      </c>
      <c r="B13" s="110" t="str">
        <f>'ORÇAMENTO SEM BDI'!D9</f>
        <v>ADMINISTRAÇÃO DA OBRA</v>
      </c>
      <c r="C13" s="111">
        <f>'ORÇAMENTO SEM BDI'!G9</f>
        <v>50172.831536231883</v>
      </c>
      <c r="D13" s="111">
        <f>'ANEXO VI- Planilha Orçamentária'!G9</f>
        <v>62716.04</v>
      </c>
      <c r="E13" s="112">
        <f t="shared" ref="E13:E22" si="0">(D13/$D$24)</f>
        <v>7.6042773877340777E-2</v>
      </c>
    </row>
    <row r="14" spans="1:8" s="113" customFormat="1" ht="29.1" customHeight="1">
      <c r="A14" s="114" t="s">
        <v>11</v>
      </c>
      <c r="B14" s="115" t="str">
        <f>'ORÇAMENTO SEM BDI'!D12</f>
        <v>SERVIÇOS PRELIMINARES</v>
      </c>
      <c r="C14" s="116">
        <f>'ORÇAMENTO SEM BDI'!G12</f>
        <v>34728.69281</v>
      </c>
      <c r="D14" s="116">
        <f>'ANEXO VI- Planilha Orçamentária'!G12</f>
        <v>43410.119400000003</v>
      </c>
      <c r="E14" s="117">
        <f t="shared" si="0"/>
        <v>5.2634475861718384E-2</v>
      </c>
    </row>
    <row r="15" spans="1:8" s="113" customFormat="1" ht="29.1" customHeight="1">
      <c r="A15" s="114" t="str">
        <f>'ORÇAMENTO SEM BDI'!A23</f>
        <v>3.0</v>
      </c>
      <c r="B15" s="115" t="str">
        <f>'ORÇAMENTO SEM BDI'!D23</f>
        <v>FECHAMENTO, LIMPEZA, DEMOLIÇÕES E RETIRADAS</v>
      </c>
      <c r="C15" s="116">
        <f>'ORÇAMENTO SEM BDI'!G23</f>
        <v>11607.959999999997</v>
      </c>
      <c r="D15" s="116">
        <f>'ANEXO VI- Planilha Orçamentária'!G23</f>
        <v>14503.65</v>
      </c>
      <c r="E15" s="117">
        <f t="shared" si="0"/>
        <v>1.7585577427179613E-2</v>
      </c>
    </row>
    <row r="16" spans="1:8" s="113" customFormat="1" ht="29.1" customHeight="1">
      <c r="A16" s="114" t="str">
        <f>'ORÇAMENTO SEM BDI'!A26</f>
        <v>4.0</v>
      </c>
      <c r="B16" s="115" t="str">
        <f>'ORÇAMENTO SEM BDI'!D26</f>
        <v>MOVIMENTO DE TERRA</v>
      </c>
      <c r="C16" s="116">
        <f>'ORÇAMENTO SEM BDI'!G26</f>
        <v>10865.236480000001</v>
      </c>
      <c r="D16" s="116">
        <f>'ANEXO VI- Planilha Orçamentária'!G26</f>
        <v>13581.554</v>
      </c>
      <c r="E16" s="117">
        <f t="shared" si="0"/>
        <v>1.6467542270285133E-2</v>
      </c>
    </row>
    <row r="17" spans="1:5" s="113" customFormat="1" ht="29.1" customHeight="1">
      <c r="A17" s="114" t="str">
        <f>'ORÇAMENTO SEM BDI'!A31</f>
        <v>5.0</v>
      </c>
      <c r="B17" s="115" t="str">
        <f>'ORÇAMENTO SEM BDI'!D31</f>
        <v>CARGA E TRANSPORTE DE MATERIAIS</v>
      </c>
      <c r="C17" s="116">
        <f>'ORÇAMENTO SEM BDI'!G31</f>
        <v>43358.458074104165</v>
      </c>
      <c r="D17" s="116">
        <f>'ANEXO VI- Planilha Orçamentária'!G31</f>
        <v>51692.59</v>
      </c>
      <c r="E17" s="117">
        <f t="shared" si="0"/>
        <v>6.2676915387261167E-2</v>
      </c>
    </row>
    <row r="18" spans="1:5" s="113" customFormat="1" ht="29.1" customHeight="1">
      <c r="A18" s="114" t="str">
        <f>'ORÇAMENTO SEM BDI'!A39</f>
        <v>6.0</v>
      </c>
      <c r="B18" s="115" t="str">
        <f>'ORÇAMENTO SEM BDI'!D39</f>
        <v>ESTRUTURAS DE CONCRETO - FUNDAÇÃO E SUPERESTRUTURA</v>
      </c>
      <c r="C18" s="116">
        <f>'ORÇAMENTO SEM BDI'!G39</f>
        <v>305493.70755619998</v>
      </c>
      <c r="D18" s="116">
        <f>'ANEXO VI- Planilha Orçamentária'!G39</f>
        <v>381824.15</v>
      </c>
      <c r="E18" s="117">
        <f t="shared" si="0"/>
        <v>0.46295919671200303</v>
      </c>
    </row>
    <row r="19" spans="1:5" s="113" customFormat="1" ht="29.1" customHeight="1">
      <c r="A19" s="114" t="str">
        <f>'ORÇAMENTO SEM BDI'!A54</f>
        <v>7.0</v>
      </c>
      <c r="B19" s="115" t="str">
        <f>'ORÇAMENTO SEM BDI'!D54</f>
        <v>PISOS (FORNECIMENTO E COLOCAÇÃO)</v>
      </c>
      <c r="C19" s="116">
        <f>'ORÇAMENTO SEM BDI'!G54</f>
        <v>31270.814743999996</v>
      </c>
      <c r="D19" s="116">
        <f>'ANEXO VI- Planilha Orçamentária'!G54</f>
        <v>39089.339999999997</v>
      </c>
      <c r="E19" s="117">
        <f t="shared" si="0"/>
        <v>4.7395560093310925E-2</v>
      </c>
    </row>
    <row r="20" spans="1:5" s="113" customFormat="1" ht="29.1" customHeight="1">
      <c r="A20" s="114" t="str">
        <f>'ORÇAMENTO SEM BDI'!A59</f>
        <v>8.0</v>
      </c>
      <c r="B20" s="115" t="str">
        <f>'ORÇAMENTO SEM BDI'!D59</f>
        <v>PINTURA</v>
      </c>
      <c r="C20" s="116">
        <f>'ORÇAMENTO SEM BDI'!G59</f>
        <v>13835.980899999999</v>
      </c>
      <c r="D20" s="116">
        <f>'ANEXO VI- Planilha Orçamentária'!G59</f>
        <v>17296.350000000002</v>
      </c>
      <c r="E20" s="117">
        <f t="shared" si="0"/>
        <v>2.0971707269039044E-2</v>
      </c>
    </row>
    <row r="21" spans="1:5" s="113" customFormat="1" ht="29.1" customHeight="1">
      <c r="A21" s="114" t="str">
        <f>'ORÇAMENTO SEM BDI'!A65</f>
        <v>9.0</v>
      </c>
      <c r="B21" s="115" t="str">
        <f>'ORÇAMENTO SEM BDI'!D65</f>
        <v>INSTALAÇÕES ELÉTRICAS (FORNECIMENTO E INSTALAÇÃO)</v>
      </c>
      <c r="C21" s="116">
        <f>'ORÇAMENTO SEM BDI'!G65</f>
        <v>106444.48367333334</v>
      </c>
      <c r="D21" s="116">
        <f>'ANEXO VI- Planilha Orçamentária'!G65</f>
        <v>133056.50999999998</v>
      </c>
      <c r="E21" s="117">
        <f t="shared" si="0"/>
        <v>0.16133011750802714</v>
      </c>
    </row>
    <row r="22" spans="1:5" s="113" customFormat="1" ht="29.1" customHeight="1">
      <c r="A22" s="114" t="str">
        <f>'ORÇAMENTO SEM BDI'!A88</f>
        <v>10.0</v>
      </c>
      <c r="B22" s="115" t="str">
        <f>'ORÇAMENTO SEM BDI'!D88</f>
        <v>DIVERSOS</v>
      </c>
      <c r="C22" s="116">
        <f>'ORÇAMENTO SEM BDI'!G88</f>
        <v>54060.209600000002</v>
      </c>
      <c r="D22" s="116">
        <f>'ANEXO VI- Planilha Orçamentária'!G88</f>
        <v>67576.570000000007</v>
      </c>
      <c r="E22" s="117">
        <f t="shared" si="0"/>
        <v>8.1936133593834864E-2</v>
      </c>
    </row>
    <row r="23" spans="1:5">
      <c r="A23" s="118"/>
      <c r="B23" s="119"/>
      <c r="C23" s="120"/>
      <c r="D23" s="120"/>
      <c r="E23" s="121"/>
    </row>
    <row r="24" spans="1:5">
      <c r="A24" s="768" t="s">
        <v>253</v>
      </c>
      <c r="B24" s="768"/>
      <c r="C24" s="122">
        <f>SUM(C13:C23)</f>
        <v>661838.37537386944</v>
      </c>
      <c r="D24" s="122">
        <f>SUM(D13:D23)</f>
        <v>824746.87339999992</v>
      </c>
      <c r="E24" s="123">
        <f>SUM(E13:E23)</f>
        <v>1.0000000000000002</v>
      </c>
    </row>
    <row r="25" spans="1:5">
      <c r="A25" s="124"/>
      <c r="B25" s="125"/>
      <c r="C25" s="126"/>
      <c r="D25" s="126"/>
      <c r="E25" s="97"/>
    </row>
    <row r="26" spans="1:5">
      <c r="A26" s="124"/>
      <c r="C26" s="769" t="s">
        <v>254</v>
      </c>
      <c r="D26" s="769"/>
      <c r="E26" s="769"/>
    </row>
    <row r="27" spans="1:5">
      <c r="A27" s="124"/>
      <c r="C27" s="126"/>
      <c r="D27" s="126"/>
      <c r="E27" s="97"/>
    </row>
    <row r="28" spans="1:5">
      <c r="A28" s="124"/>
      <c r="C28" s="126"/>
      <c r="D28" s="126"/>
      <c r="E28" s="97"/>
    </row>
    <row r="29" spans="1:5">
      <c r="A29" s="124"/>
      <c r="C29" s="126"/>
      <c r="D29" s="126"/>
      <c r="E29" s="97"/>
    </row>
    <row r="30" spans="1:5">
      <c r="A30" s="124"/>
      <c r="C30" s="126"/>
      <c r="D30" s="126"/>
      <c r="E30" s="97"/>
    </row>
    <row r="31" spans="1:5">
      <c r="A31" s="124"/>
      <c r="C31" s="126"/>
      <c r="D31" s="126"/>
      <c r="E31" s="97"/>
    </row>
    <row r="32" spans="1:5">
      <c r="A32" s="124"/>
      <c r="C32" s="126"/>
      <c r="D32" s="126"/>
      <c r="E32" s="97"/>
    </row>
    <row r="33" spans="1:5">
      <c r="A33" s="762" t="s">
        <v>255</v>
      </c>
      <c r="B33" s="762"/>
      <c r="C33" s="762"/>
      <c r="D33" s="762"/>
      <c r="E33" s="762"/>
    </row>
    <row r="34" spans="1:5">
      <c r="A34" s="763" t="s">
        <v>256</v>
      </c>
      <c r="B34" s="763"/>
      <c r="C34" s="763"/>
      <c r="D34" s="763"/>
      <c r="E34" s="763"/>
    </row>
    <row r="35" spans="1:5">
      <c r="A35" s="763" t="s">
        <v>257</v>
      </c>
      <c r="B35" s="763"/>
      <c r="C35" s="763"/>
      <c r="D35" s="763"/>
      <c r="E35" s="763"/>
    </row>
  </sheetData>
  <sheetProtection selectLockedCells="1" selectUnlockedCells="1"/>
  <mergeCells count="12">
    <mergeCell ref="A24:B24"/>
    <mergeCell ref="C26:E26"/>
    <mergeCell ref="A33:E33"/>
    <mergeCell ref="A34:E34"/>
    <mergeCell ref="A35:E35"/>
    <mergeCell ref="A3:E3"/>
    <mergeCell ref="B10:E10"/>
    <mergeCell ref="A11:A12"/>
    <mergeCell ref="B11:B12"/>
    <mergeCell ref="C11:C12"/>
    <mergeCell ref="D11:D12"/>
    <mergeCell ref="E11:E12"/>
  </mergeCells>
  <printOptions horizontalCentered="1"/>
  <pageMargins left="0.51180555555555551" right="0.51180555555555551" top="0.78749999999999998" bottom="0.78749999999999998" header="0.51180555555555551" footer="0.31527777777777777"/>
  <pageSetup paperSize="9" scale="70" firstPageNumber="0" orientation="portrait" horizontalDpi="300" verticalDpi="300" r:id="rId1"/>
  <headerFooter alignWithMargins="0">
    <oddFooter>&amp;L&amp;A&amp;RAntônio Nunes da Silva Filho
Eng. Civil - CREA 16.122 - D/PE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showGridLines="0" view="pageBreakPreview" topLeftCell="D1" zoomScale="85" zoomScaleNormal="90" zoomScaleSheetLayoutView="85" workbookViewId="0">
      <pane ySplit="8" topLeftCell="A84" activePane="bottomLeft" state="frozen"/>
      <selection activeCell="D1" sqref="D1"/>
      <selection pane="bottomLeft" activeCell="D104" sqref="D104"/>
    </sheetView>
  </sheetViews>
  <sheetFormatPr defaultRowHeight="15"/>
  <cols>
    <col min="1" max="1" width="11" style="113" customWidth="1"/>
    <col min="2" max="3" width="9" style="113" hidden="1" customWidth="1"/>
    <col min="4" max="4" width="61.28515625" style="113" customWidth="1"/>
    <col min="5" max="5" width="6.140625" style="113" customWidth="1"/>
    <col min="6" max="6" width="13.28515625" style="113" customWidth="1"/>
    <col min="7" max="7" width="17.85546875" style="113" customWidth="1"/>
    <col min="8" max="8" width="15.42578125" style="113" customWidth="1"/>
    <col min="9" max="9" width="13.140625" style="113" customWidth="1"/>
    <col min="10" max="10" width="14.7109375" style="113" customWidth="1"/>
    <col min="11" max="11" width="17.7109375" style="113" customWidth="1"/>
    <col min="12" max="12" width="14" style="127" customWidth="1"/>
    <col min="13" max="13" width="12.140625" style="113" customWidth="1"/>
    <col min="14" max="15" width="9.140625" style="113" customWidth="1"/>
    <col min="16" max="16" width="10.5703125" style="113" customWidth="1"/>
    <col min="17" max="17" width="9.140625" style="113" customWidth="1"/>
    <col min="18" max="18" width="18.7109375" style="113" customWidth="1"/>
    <col min="19" max="16384" width="9.140625" style="113"/>
  </cols>
  <sheetData>
    <row r="1" spans="1:18"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8">
      <c r="A2" s="770" t="s">
        <v>258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</row>
    <row r="3" spans="1:18"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8" ht="15" customHeight="1">
      <c r="A4" s="130" t="s">
        <v>259</v>
      </c>
      <c r="B4" s="771" t="str">
        <f>RESUMO!B7</f>
        <v>Construção dos pórticos de acesso a cidade de Moreno</v>
      </c>
      <c r="C4" s="771"/>
      <c r="D4" s="771"/>
      <c r="E4" s="772" t="s">
        <v>260</v>
      </c>
      <c r="F4" s="772"/>
      <c r="G4" s="131" t="s">
        <v>245</v>
      </c>
      <c r="H4" s="131"/>
      <c r="I4" s="131"/>
      <c r="J4" s="131"/>
      <c r="K4" s="131"/>
    </row>
    <row r="5" spans="1:18" ht="15" customHeight="1">
      <c r="A5" s="130" t="s">
        <v>261</v>
      </c>
      <c r="B5" s="132" t="str">
        <f>RESUMO!B8</f>
        <v>Moreno - PE</v>
      </c>
      <c r="D5" s="132"/>
      <c r="E5" s="772" t="s">
        <v>248</v>
      </c>
      <c r="F5" s="772"/>
      <c r="G5" s="133">
        <v>42488</v>
      </c>
      <c r="H5" s="133"/>
      <c r="I5" s="133"/>
      <c r="J5" s="133"/>
      <c r="K5" s="131"/>
    </row>
    <row r="6" spans="1:18">
      <c r="B6" s="130"/>
      <c r="C6" s="134"/>
      <c r="D6" s="135"/>
      <c r="E6" s="136"/>
      <c r="F6" s="773"/>
      <c r="G6" s="773"/>
      <c r="H6" s="773"/>
      <c r="I6" s="773"/>
      <c r="J6" s="773"/>
      <c r="K6" s="773"/>
    </row>
    <row r="7" spans="1:18" ht="15" customHeight="1">
      <c r="A7" s="766" t="s">
        <v>0</v>
      </c>
      <c r="B7" s="766" t="s">
        <v>262</v>
      </c>
      <c r="C7" s="766" t="s">
        <v>263</v>
      </c>
      <c r="D7" s="766" t="s">
        <v>264</v>
      </c>
      <c r="E7" s="766" t="s">
        <v>265</v>
      </c>
      <c r="F7" s="775" t="s">
        <v>266</v>
      </c>
      <c r="G7" s="766" t="s">
        <v>267</v>
      </c>
      <c r="H7" s="766"/>
      <c r="I7" s="766"/>
      <c r="J7" s="766"/>
      <c r="K7" s="766" t="s">
        <v>268</v>
      </c>
      <c r="M7" s="138">
        <v>1</v>
      </c>
      <c r="N7" s="139" t="s">
        <v>269</v>
      </c>
    </row>
    <row r="8" spans="1:18" ht="25.5">
      <c r="A8" s="766"/>
      <c r="B8" s="766"/>
      <c r="C8" s="766"/>
      <c r="D8" s="766"/>
      <c r="E8" s="766"/>
      <c r="F8" s="775"/>
      <c r="G8" s="108" t="s">
        <v>270</v>
      </c>
      <c r="H8" s="108" t="s">
        <v>271</v>
      </c>
      <c r="I8" s="108" t="s">
        <v>272</v>
      </c>
      <c r="J8" s="108" t="s">
        <v>273</v>
      </c>
      <c r="K8" s="766"/>
      <c r="M8" s="138"/>
      <c r="N8" s="140">
        <v>0.25</v>
      </c>
    </row>
    <row r="9" spans="1:18">
      <c r="A9" s="141" t="s">
        <v>6</v>
      </c>
      <c r="B9" s="141"/>
      <c r="C9" s="141"/>
      <c r="D9" s="142" t="s">
        <v>274</v>
      </c>
      <c r="E9" s="141"/>
      <c r="F9" s="141"/>
      <c r="G9" s="143">
        <v>62716.04</v>
      </c>
      <c r="H9" s="143"/>
      <c r="I9" s="143"/>
      <c r="J9" s="143"/>
      <c r="K9" s="141"/>
      <c r="R9" s="143">
        <f>SUM(R10:R16)</f>
        <v>19064280.879999999</v>
      </c>
    </row>
    <row r="10" spans="1:18" ht="25.5">
      <c r="A10" s="144" t="s">
        <v>8</v>
      </c>
      <c r="B10" s="145" t="s">
        <v>275</v>
      </c>
      <c r="C10" s="146" t="str">
        <f>VLOOKUP($A10,'ANEXO XVII- MEMORIA DE CALCULO'!$A$1:$P8713,2,0)</f>
        <v>CPU 01</v>
      </c>
      <c r="D10" s="147" t="s">
        <v>276</v>
      </c>
      <c r="E10" s="146" t="s">
        <v>277</v>
      </c>
      <c r="F10" s="148">
        <v>4</v>
      </c>
      <c r="G10" s="149">
        <v>12543.207884057971</v>
      </c>
      <c r="H10" s="149"/>
      <c r="I10" s="149">
        <f>G10*$N$8</f>
        <v>3135.8019710144927</v>
      </c>
      <c r="J10" s="149">
        <f>ROUND((SUM(G10:I10)),2)</f>
        <v>15679.01</v>
      </c>
      <c r="K10" s="149">
        <f>F10*J10</f>
        <v>62716.04</v>
      </c>
      <c r="L10" s="127">
        <f>K10/$K$97</f>
        <v>7.6042773877340764E-2</v>
      </c>
      <c r="P10" s="150">
        <v>348</v>
      </c>
      <c r="R10" s="149">
        <f>P10*J10</f>
        <v>5456295.4800000004</v>
      </c>
    </row>
    <row r="11" spans="1:18">
      <c r="A11" s="151"/>
      <c r="B11" s="152"/>
      <c r="C11" s="153"/>
      <c r="D11" s="154"/>
      <c r="E11" s="153"/>
      <c r="F11" s="155"/>
      <c r="G11" s="156"/>
      <c r="H11" s="156"/>
      <c r="I11" s="156"/>
      <c r="J11" s="156"/>
      <c r="K11" s="157"/>
      <c r="P11" s="150"/>
      <c r="R11" s="149"/>
    </row>
    <row r="12" spans="1:18">
      <c r="A12" s="141" t="s">
        <v>11</v>
      </c>
      <c r="B12" s="141"/>
      <c r="C12" s="141"/>
      <c r="D12" s="142" t="s">
        <v>12</v>
      </c>
      <c r="E12" s="141"/>
      <c r="F12" s="141"/>
      <c r="G12" s="143">
        <v>43410.119400000003</v>
      </c>
      <c r="H12" s="143"/>
      <c r="I12" s="143"/>
      <c r="J12" s="143"/>
      <c r="K12" s="141"/>
      <c r="P12" s="150"/>
      <c r="R12" s="149"/>
    </row>
    <row r="13" spans="1:18" ht="36">
      <c r="A13" s="144" t="s">
        <v>13</v>
      </c>
      <c r="B13" s="145" t="s">
        <v>14</v>
      </c>
      <c r="C13" s="146" t="str">
        <f>VLOOKUP($A13,'ANEXO XVII- MEMORIA DE CALCULO'!$A$1:$P8716,2,0)</f>
        <v>74210/001</v>
      </c>
      <c r="D13" s="147" t="s">
        <v>23</v>
      </c>
      <c r="E13" s="146" t="s">
        <v>17</v>
      </c>
      <c r="F13" s="148">
        <v>12</v>
      </c>
      <c r="G13" s="149">
        <v>280.85000000000002</v>
      </c>
      <c r="H13" s="149"/>
      <c r="I13" s="149">
        <f t="shared" ref="I13:I21" si="0">G13*$N$8</f>
        <v>70.212500000000006</v>
      </c>
      <c r="J13" s="149">
        <f t="shared" ref="J13:J21" si="1">ROUND((SUM(G13:I13)),2)</f>
        <v>351.06</v>
      </c>
      <c r="K13" s="149">
        <f t="shared" ref="K13:K21" si="2">F13*J13</f>
        <v>4212.72</v>
      </c>
      <c r="L13" s="127">
        <f t="shared" ref="L13:L21" si="3">K13/$K$97</f>
        <v>5.1078944775300068E-3</v>
      </c>
      <c r="P13" s="150">
        <v>1872</v>
      </c>
      <c r="R13" s="149">
        <f>P13*J13</f>
        <v>657184.31999999995</v>
      </c>
    </row>
    <row r="14" spans="1:18" ht="36">
      <c r="A14" s="144" t="s">
        <v>18</v>
      </c>
      <c r="B14" s="145" t="s">
        <v>14</v>
      </c>
      <c r="C14" s="146" t="str">
        <f>VLOOKUP($A14,'ANEXO XVII- MEMORIA DE CALCULO'!$A$1:$P8717,2,0)</f>
        <v>73805/001</v>
      </c>
      <c r="D14" s="147" t="s">
        <v>26</v>
      </c>
      <c r="E14" s="146" t="s">
        <v>17</v>
      </c>
      <c r="F14" s="148">
        <v>9</v>
      </c>
      <c r="G14" s="149">
        <v>257.13</v>
      </c>
      <c r="H14" s="149"/>
      <c r="I14" s="149">
        <f t="shared" si="0"/>
        <v>64.282499999999999</v>
      </c>
      <c r="J14" s="149">
        <f t="shared" si="1"/>
        <v>321.41000000000003</v>
      </c>
      <c r="K14" s="149">
        <f t="shared" si="2"/>
        <v>2892.69</v>
      </c>
      <c r="L14" s="127">
        <f t="shared" si="3"/>
        <v>3.5073670398712174E-3</v>
      </c>
      <c r="P14" s="150">
        <v>1404</v>
      </c>
      <c r="R14" s="149">
        <f>P14*J14</f>
        <v>451259.64</v>
      </c>
    </row>
    <row r="15" spans="1:18" ht="60">
      <c r="A15" s="144" t="s">
        <v>21</v>
      </c>
      <c r="B15" s="145" t="s">
        <v>14</v>
      </c>
      <c r="C15" s="146" t="str">
        <f>VLOOKUP($A15,'ANEXO XVII- MEMORIA DE CALCULO'!$A$1:$P8718,2,0)</f>
        <v>73752/001</v>
      </c>
      <c r="D15" s="158" t="s">
        <v>29</v>
      </c>
      <c r="E15" s="146" t="s">
        <v>30</v>
      </c>
      <c r="F15" s="148">
        <v>1</v>
      </c>
      <c r="G15" s="149">
        <v>3279.39</v>
      </c>
      <c r="H15" s="149"/>
      <c r="I15" s="149">
        <f t="shared" si="0"/>
        <v>819.84749999999997</v>
      </c>
      <c r="J15" s="149">
        <f t="shared" si="1"/>
        <v>4099.24</v>
      </c>
      <c r="K15" s="149">
        <f t="shared" si="2"/>
        <v>4099.24</v>
      </c>
      <c r="L15" s="127">
        <f t="shared" si="3"/>
        <v>4.9703007458530594E-3</v>
      </c>
      <c r="M15" s="159"/>
      <c r="P15" s="150">
        <v>2808</v>
      </c>
      <c r="R15" s="149">
        <f>P15*J15</f>
        <v>11510665.92</v>
      </c>
    </row>
    <row r="16" spans="1:18" ht="25.5">
      <c r="A16" s="144" t="s">
        <v>24</v>
      </c>
      <c r="B16" s="145" t="s">
        <v>14</v>
      </c>
      <c r="C16" s="146" t="str">
        <f>VLOOKUP($A16,'ANEXO XVII- MEMORIA DE CALCULO'!$A$1:$P8719,2,0)</f>
        <v>73960/001</v>
      </c>
      <c r="D16" s="147" t="s">
        <v>33</v>
      </c>
      <c r="E16" s="146" t="s">
        <v>30</v>
      </c>
      <c r="F16" s="148">
        <v>1</v>
      </c>
      <c r="G16" s="149">
        <v>1354.62</v>
      </c>
      <c r="H16" s="149"/>
      <c r="I16" s="149">
        <f t="shared" si="0"/>
        <v>338.65499999999997</v>
      </c>
      <c r="J16" s="149">
        <f t="shared" si="1"/>
        <v>1693.28</v>
      </c>
      <c r="K16" s="149">
        <f t="shared" si="2"/>
        <v>1693.28</v>
      </c>
      <c r="L16" s="127">
        <f t="shared" si="3"/>
        <v>2.053090535547582E-3</v>
      </c>
      <c r="P16" s="150">
        <v>584</v>
      </c>
      <c r="R16" s="149">
        <f>P16*J16</f>
        <v>988875.52</v>
      </c>
    </row>
    <row r="17" spans="1:18" ht="60">
      <c r="A17" s="144" t="s">
        <v>27</v>
      </c>
      <c r="B17" s="145" t="s">
        <v>275</v>
      </c>
      <c r="C17" s="146" t="str">
        <f>VLOOKUP($A17,'ANEXO XVII- MEMORIA DE CALCULO'!$A$1:$P8720,2,0)</f>
        <v>CPU 1.007</v>
      </c>
      <c r="D17" s="147" t="s">
        <v>278</v>
      </c>
      <c r="E17" s="146" t="s">
        <v>30</v>
      </c>
      <c r="F17" s="148">
        <v>1</v>
      </c>
      <c r="G17" s="149">
        <v>897.07</v>
      </c>
      <c r="H17" s="149"/>
      <c r="I17" s="149">
        <f t="shared" si="0"/>
        <v>224.26750000000001</v>
      </c>
      <c r="J17" s="149">
        <f t="shared" si="1"/>
        <v>1121.3399999999999</v>
      </c>
      <c r="K17" s="149">
        <f t="shared" si="2"/>
        <v>1121.3399999999999</v>
      </c>
      <c r="L17" s="127">
        <f t="shared" si="3"/>
        <v>1.3596171579011889E-3</v>
      </c>
      <c r="P17" s="160"/>
      <c r="R17" s="161"/>
    </row>
    <row r="18" spans="1:18" ht="60">
      <c r="A18" s="144" t="s">
        <v>31</v>
      </c>
      <c r="B18" s="145" t="s">
        <v>14</v>
      </c>
      <c r="C18" s="146" t="str">
        <f>VLOOKUP($A18,'ANEXO XVII- MEMORIA DE CALCULO'!$A$1:$P8721,2,0)</f>
        <v>73784/001</v>
      </c>
      <c r="D18" s="147" t="s">
        <v>38</v>
      </c>
      <c r="E18" s="146" t="s">
        <v>30</v>
      </c>
      <c r="F18" s="148">
        <v>1</v>
      </c>
      <c r="G18" s="149">
        <v>792.91</v>
      </c>
      <c r="H18" s="149"/>
      <c r="I18" s="149">
        <f t="shared" si="0"/>
        <v>198.22749999999999</v>
      </c>
      <c r="J18" s="149">
        <f t="shared" si="1"/>
        <v>991.14</v>
      </c>
      <c r="K18" s="149">
        <f t="shared" si="2"/>
        <v>991.14</v>
      </c>
      <c r="L18" s="127">
        <f t="shared" si="3"/>
        <v>1.201750539427992E-3</v>
      </c>
      <c r="P18" s="160"/>
      <c r="R18" s="161"/>
    </row>
    <row r="19" spans="1:18" ht="25.5">
      <c r="A19" s="144" t="s">
        <v>34</v>
      </c>
      <c r="B19" s="145" t="s">
        <v>14</v>
      </c>
      <c r="C19" s="146" t="str">
        <f>VLOOKUP($A19,'ANEXO XVII- MEMORIA DE CALCULO'!$A$1:$P8722,2,0)</f>
        <v>74209/001</v>
      </c>
      <c r="D19" s="147" t="s">
        <v>41</v>
      </c>
      <c r="E19" s="146" t="s">
        <v>17</v>
      </c>
      <c r="F19" s="148">
        <v>20</v>
      </c>
      <c r="G19" s="149">
        <v>332.85</v>
      </c>
      <c r="H19" s="149"/>
      <c r="I19" s="149">
        <f t="shared" si="0"/>
        <v>83.212500000000006</v>
      </c>
      <c r="J19" s="149">
        <f t="shared" si="1"/>
        <v>416.06</v>
      </c>
      <c r="K19" s="149">
        <f t="shared" si="2"/>
        <v>8321.2000000000007</v>
      </c>
      <c r="L19" s="127">
        <f t="shared" si="3"/>
        <v>1.0089398660823101E-2</v>
      </c>
      <c r="P19" s="160"/>
      <c r="R19" s="161"/>
    </row>
    <row r="20" spans="1:18" ht="25.5">
      <c r="A20" s="144" t="s">
        <v>36</v>
      </c>
      <c r="B20" s="145" t="s">
        <v>14</v>
      </c>
      <c r="C20" s="146" t="str">
        <f>VLOOKUP($A20,'ANEXO XVII- MEMORIA DE CALCULO'!$A$1:$P8723,2,0)</f>
        <v>74220/001</v>
      </c>
      <c r="D20" s="147" t="s">
        <v>16</v>
      </c>
      <c r="E20" s="146" t="s">
        <v>17</v>
      </c>
      <c r="F20" s="148">
        <v>369.29</v>
      </c>
      <c r="G20" s="149">
        <v>41.09</v>
      </c>
      <c r="H20" s="149"/>
      <c r="I20" s="149">
        <f t="shared" si="0"/>
        <v>10.272500000000001</v>
      </c>
      <c r="J20" s="149">
        <f t="shared" si="1"/>
        <v>51.36</v>
      </c>
      <c r="K20" s="149">
        <f t="shared" si="2"/>
        <v>18966.734400000001</v>
      </c>
      <c r="L20" s="127">
        <f t="shared" si="3"/>
        <v>2.2997037044602632E-2</v>
      </c>
      <c r="P20" s="160"/>
      <c r="R20" s="161"/>
    </row>
    <row r="21" spans="1:18" ht="25.5">
      <c r="A21" s="144" t="s">
        <v>39</v>
      </c>
      <c r="B21" s="145" t="s">
        <v>14</v>
      </c>
      <c r="C21" s="146" t="str">
        <f>VLOOKUP($A21,'ANEXO XVII- MEMORIA DE CALCULO'!$A$1:$P8724,2,0)</f>
        <v>73948/016</v>
      </c>
      <c r="D21" s="147" t="s">
        <v>20</v>
      </c>
      <c r="E21" s="146" t="s">
        <v>17</v>
      </c>
      <c r="F21" s="148">
        <v>317.64999999999998</v>
      </c>
      <c r="G21" s="149">
        <v>2.8</v>
      </c>
      <c r="H21" s="149"/>
      <c r="I21" s="149">
        <f t="shared" si="0"/>
        <v>0.7</v>
      </c>
      <c r="J21" s="149">
        <f t="shared" si="1"/>
        <v>3.5</v>
      </c>
      <c r="K21" s="149">
        <f t="shared" si="2"/>
        <v>1111.7749999999999</v>
      </c>
      <c r="L21" s="127">
        <f t="shared" si="3"/>
        <v>1.3480196601615873E-3</v>
      </c>
      <c r="P21" s="160"/>
      <c r="R21" s="161"/>
    </row>
    <row r="22" spans="1:18">
      <c r="A22" s="151"/>
      <c r="B22" s="152"/>
      <c r="C22" s="153"/>
      <c r="D22" s="154"/>
      <c r="E22" s="153"/>
      <c r="F22" s="155"/>
      <c r="G22" s="156"/>
      <c r="H22" s="156"/>
      <c r="I22" s="156"/>
      <c r="J22" s="156"/>
      <c r="K22" s="157"/>
    </row>
    <row r="23" spans="1:18">
      <c r="A23" s="162" t="s">
        <v>44</v>
      </c>
      <c r="B23" s="141"/>
      <c r="C23" s="163"/>
      <c r="D23" s="142" t="s">
        <v>279</v>
      </c>
      <c r="E23" s="164"/>
      <c r="F23" s="165"/>
      <c r="G23" s="166">
        <v>14503.65</v>
      </c>
      <c r="H23" s="166"/>
      <c r="I23" s="166"/>
      <c r="J23" s="166"/>
      <c r="K23" s="167"/>
      <c r="R23" s="168">
        <f>SUM(R24:R24)</f>
        <v>14700</v>
      </c>
    </row>
    <row r="24" spans="1:18" ht="25.5">
      <c r="A24" s="144" t="s">
        <v>46</v>
      </c>
      <c r="B24" s="145" t="s">
        <v>14</v>
      </c>
      <c r="C24" s="146" t="str">
        <f>VLOOKUP($A24,'ANEXO XVII- MEMORIA DE CALCULO'!$A$1:$P8709,2,0)</f>
        <v>CPU 02.001</v>
      </c>
      <c r="D24" s="147" t="s">
        <v>280</v>
      </c>
      <c r="E24" s="146" t="s">
        <v>17</v>
      </c>
      <c r="F24" s="148">
        <v>690.65</v>
      </c>
      <c r="G24" s="149">
        <v>16.799999999999997</v>
      </c>
      <c r="H24" s="149"/>
      <c r="I24" s="149">
        <f>G24*$N$8</f>
        <v>4.1999999999999993</v>
      </c>
      <c r="J24" s="149">
        <f>ROUND((SUM(G24:I24)),2)</f>
        <v>21</v>
      </c>
      <c r="K24" s="149">
        <f>F24*J24</f>
        <v>14503.65</v>
      </c>
      <c r="L24" s="127">
        <f>K24/$K$97</f>
        <v>1.7585577427179606E-2</v>
      </c>
      <c r="P24" s="150">
        <f>700</f>
        <v>700</v>
      </c>
      <c r="R24" s="149">
        <f>P24*J24</f>
        <v>14700</v>
      </c>
    </row>
    <row r="25" spans="1:18">
      <c r="A25" s="151"/>
      <c r="B25" s="152"/>
      <c r="C25" s="153"/>
      <c r="D25" s="154"/>
      <c r="E25" s="153"/>
      <c r="F25" s="155"/>
      <c r="G25" s="156"/>
      <c r="H25" s="156"/>
      <c r="I25" s="156"/>
      <c r="J25" s="156"/>
      <c r="K25" s="157"/>
    </row>
    <row r="26" spans="1:18">
      <c r="A26" s="162" t="s">
        <v>48</v>
      </c>
      <c r="B26" s="141"/>
      <c r="C26" s="163"/>
      <c r="D26" s="142" t="s">
        <v>49</v>
      </c>
      <c r="E26" s="164"/>
      <c r="F26" s="165"/>
      <c r="G26" s="166">
        <v>13581.554</v>
      </c>
      <c r="H26" s="166"/>
      <c r="I26" s="166"/>
      <c r="J26" s="166"/>
      <c r="K26" s="167"/>
      <c r="R26" s="168" t="e">
        <f>SUM(#REF!)</f>
        <v>#REF!</v>
      </c>
    </row>
    <row r="27" spans="1:18" ht="25.5">
      <c r="A27" s="169" t="s">
        <v>50</v>
      </c>
      <c r="B27" s="145" t="s">
        <v>14</v>
      </c>
      <c r="C27" s="170" t="str">
        <f>VLOOKUP($A27,'ANEXO XVII- MEMORIA DE CALCULO'!$A$1:$P8725,2,0)</f>
        <v>79517/001</v>
      </c>
      <c r="D27" s="171" t="s">
        <v>52</v>
      </c>
      <c r="E27" s="170" t="s">
        <v>53</v>
      </c>
      <c r="F27" s="150">
        <v>174.92</v>
      </c>
      <c r="G27" s="149">
        <v>22.4</v>
      </c>
      <c r="H27" s="149"/>
      <c r="I27" s="149">
        <f>G27*$N$8</f>
        <v>5.6</v>
      </c>
      <c r="J27" s="149">
        <f>ROUND((SUM(G27:I27)),2)</f>
        <v>28</v>
      </c>
      <c r="K27" s="149">
        <f>F27*J27</f>
        <v>4897.7599999999993</v>
      </c>
      <c r="L27" s="127">
        <f>K27/$K$97</f>
        <v>5.9385008394261573E-3</v>
      </c>
      <c r="P27" s="160"/>
      <c r="R27" s="161"/>
    </row>
    <row r="28" spans="1:18" ht="25.5">
      <c r="A28" s="169" t="s">
        <v>54</v>
      </c>
      <c r="B28" s="145" t="s">
        <v>14</v>
      </c>
      <c r="C28" s="170" t="str">
        <f>VLOOKUP($A28,'ANEXO XVII- MEMORIA DE CALCULO'!$A$1:$P8726,2,0)</f>
        <v>79517/002</v>
      </c>
      <c r="D28" s="171" t="s">
        <v>56</v>
      </c>
      <c r="E28" s="170" t="s">
        <v>53</v>
      </c>
      <c r="F28" s="150">
        <v>64.14</v>
      </c>
      <c r="G28" s="149">
        <v>35.840000000000003</v>
      </c>
      <c r="H28" s="149"/>
      <c r="I28" s="149">
        <f>G28*$N$8</f>
        <v>8.9600000000000009</v>
      </c>
      <c r="J28" s="149">
        <f>ROUND((SUM(G28:I28)),2)</f>
        <v>44.8</v>
      </c>
      <c r="K28" s="149">
        <f>F28*J28</f>
        <v>2873.4719999999998</v>
      </c>
      <c r="L28" s="127">
        <f>K28/$K$97</f>
        <v>3.4840653449878228E-3</v>
      </c>
      <c r="P28" s="160"/>
      <c r="R28" s="161"/>
    </row>
    <row r="29" spans="1:18" ht="25.5">
      <c r="A29" s="169" t="s">
        <v>57</v>
      </c>
      <c r="B29" s="145" t="s">
        <v>14</v>
      </c>
      <c r="C29" s="170" t="str">
        <f>VLOOKUP($A29,'ANEXO XVII- MEMORIA DE CALCULO'!$A$1:$P8727,2,0)</f>
        <v>73964/004</v>
      </c>
      <c r="D29" s="171" t="s">
        <v>59</v>
      </c>
      <c r="E29" s="170" t="s">
        <v>53</v>
      </c>
      <c r="F29" s="150">
        <v>197.63000000000002</v>
      </c>
      <c r="G29" s="149">
        <v>23.52</v>
      </c>
      <c r="H29" s="149"/>
      <c r="I29" s="149">
        <f>G29*$N$8</f>
        <v>5.88</v>
      </c>
      <c r="J29" s="149">
        <f>ROUND((SUM(G29:I29)),2)</f>
        <v>29.4</v>
      </c>
      <c r="K29" s="149">
        <f>F29*J29</f>
        <v>5810.3220000000001</v>
      </c>
      <c r="L29" s="127">
        <f>K29/$K$97</f>
        <v>7.0449760858711475E-3</v>
      </c>
      <c r="P29" s="160"/>
      <c r="R29" s="161"/>
    </row>
    <row r="30" spans="1:18">
      <c r="A30" s="151"/>
      <c r="B30" s="152"/>
      <c r="C30" s="153"/>
      <c r="D30" s="154"/>
      <c r="E30" s="153"/>
      <c r="F30" s="155"/>
      <c r="G30" s="156"/>
      <c r="H30" s="156"/>
      <c r="I30" s="156"/>
      <c r="J30" s="156"/>
      <c r="K30" s="157"/>
    </row>
    <row r="31" spans="1:18">
      <c r="A31" s="162" t="s">
        <v>60</v>
      </c>
      <c r="B31" s="141"/>
      <c r="C31" s="163"/>
      <c r="D31" s="142" t="s">
        <v>281</v>
      </c>
      <c r="E31" s="164"/>
      <c r="F31" s="165"/>
      <c r="G31" s="166">
        <v>51692.59</v>
      </c>
      <c r="H31" s="166"/>
      <c r="I31" s="166"/>
      <c r="J31" s="166"/>
      <c r="K31" s="167"/>
      <c r="R31" s="168">
        <f>SUM(R32:R37)</f>
        <v>94080</v>
      </c>
    </row>
    <row r="32" spans="1:18" ht="25.5">
      <c r="A32" s="172" t="s">
        <v>62</v>
      </c>
      <c r="B32" s="145" t="s">
        <v>14</v>
      </c>
      <c r="C32" s="173" t="str">
        <f>VLOOKUP($A32,'ANEXO XVII- MEMORIA DE CALCULO'!$A$1:$P8734,2,0)</f>
        <v>74023/001</v>
      </c>
      <c r="D32" s="174" t="s">
        <v>64</v>
      </c>
      <c r="E32" s="173" t="s">
        <v>53</v>
      </c>
      <c r="F32" s="175">
        <v>361.7</v>
      </c>
      <c r="G32" s="176">
        <v>26.88</v>
      </c>
      <c r="H32" s="176"/>
      <c r="I32" s="176">
        <f>G32*$N$8</f>
        <v>6.72</v>
      </c>
      <c r="J32" s="149">
        <f t="shared" ref="J32:J37" si="4">ROUND((SUM(G32:I32)),2)</f>
        <v>33.6</v>
      </c>
      <c r="K32" s="176">
        <f t="shared" ref="K32:K37" si="5">ROUND(F32*J32,2)</f>
        <v>12153.12</v>
      </c>
      <c r="L32" s="127">
        <f t="shared" ref="L32:L37" si="6">K32/$K$97</f>
        <v>1.4735575716582036E-2</v>
      </c>
      <c r="P32" s="177">
        <v>2800</v>
      </c>
      <c r="R32" s="149">
        <f>P32*J32</f>
        <v>94080</v>
      </c>
    </row>
    <row r="33" spans="1:18" ht="25.5">
      <c r="A33" s="169" t="s">
        <v>65</v>
      </c>
      <c r="B33" s="145" t="s">
        <v>14</v>
      </c>
      <c r="C33" s="170" t="str">
        <f>VLOOKUP($A33,'ANEXO XVII- MEMORIA DE CALCULO'!$A$1:$P8735,2,0)</f>
        <v>72896</v>
      </c>
      <c r="D33" s="171" t="s">
        <v>67</v>
      </c>
      <c r="E33" s="170" t="s">
        <v>53</v>
      </c>
      <c r="F33" s="150">
        <v>239.06</v>
      </c>
      <c r="G33" s="149">
        <v>14.75</v>
      </c>
      <c r="H33" s="149"/>
      <c r="I33" s="149">
        <f>G33*$N$8</f>
        <v>3.6875</v>
      </c>
      <c r="J33" s="149">
        <f t="shared" si="4"/>
        <v>18.440000000000001</v>
      </c>
      <c r="K33" s="176">
        <f t="shared" si="5"/>
        <v>4408.2700000000004</v>
      </c>
      <c r="L33" s="127">
        <f t="shared" si="6"/>
        <v>5.3449975285471624E-3</v>
      </c>
      <c r="P33" s="177"/>
      <c r="R33" s="149"/>
    </row>
    <row r="34" spans="1:18" ht="25.5">
      <c r="A34" s="169" t="s">
        <v>68</v>
      </c>
      <c r="B34" s="145" t="s">
        <v>14</v>
      </c>
      <c r="C34" s="170">
        <f>VLOOKUP($A34,'ANEXO XVII- MEMORIA DE CALCULO'!$A$1:$P8736,2,0)</f>
        <v>72897</v>
      </c>
      <c r="D34" s="171" t="s">
        <v>69</v>
      </c>
      <c r="E34" s="170" t="s">
        <v>53</v>
      </c>
      <c r="F34" s="150">
        <v>62.88</v>
      </c>
      <c r="G34" s="149">
        <v>17.88</v>
      </c>
      <c r="H34" s="149"/>
      <c r="I34" s="149">
        <f>G34*$N$8</f>
        <v>4.47</v>
      </c>
      <c r="J34" s="149">
        <f t="shared" si="4"/>
        <v>22.35</v>
      </c>
      <c r="K34" s="176">
        <f t="shared" si="5"/>
        <v>1405.37</v>
      </c>
      <c r="L34" s="127">
        <f t="shared" si="6"/>
        <v>1.7040016098592702E-3</v>
      </c>
      <c r="P34" s="177"/>
      <c r="R34" s="149"/>
    </row>
    <row r="35" spans="1:18" ht="25.5">
      <c r="A35" s="169" t="s">
        <v>70</v>
      </c>
      <c r="B35" s="145" t="s">
        <v>14</v>
      </c>
      <c r="C35" s="170">
        <f>VLOOKUP($A35,'ANEXO XVII- MEMORIA DE CALCULO'!$A$1:$P8737,2,0)</f>
        <v>72843</v>
      </c>
      <c r="D35" s="171" t="s">
        <v>71</v>
      </c>
      <c r="E35" s="170" t="s">
        <v>72</v>
      </c>
      <c r="F35" s="150">
        <v>6691.49</v>
      </c>
      <c r="G35" s="149">
        <v>0.61</v>
      </c>
      <c r="H35" s="149"/>
      <c r="I35" s="149">
        <f>G35*$N$8</f>
        <v>0.1525</v>
      </c>
      <c r="J35" s="149">
        <f t="shared" si="4"/>
        <v>0.76</v>
      </c>
      <c r="K35" s="176">
        <f t="shared" si="5"/>
        <v>5085.53</v>
      </c>
      <c r="L35" s="127">
        <f t="shared" si="6"/>
        <v>6.1661706931182636E-3</v>
      </c>
      <c r="P35" s="177"/>
      <c r="R35" s="149"/>
    </row>
    <row r="36" spans="1:18" ht="25.5">
      <c r="A36" s="169" t="s">
        <v>76</v>
      </c>
      <c r="B36" s="145" t="s">
        <v>275</v>
      </c>
      <c r="C36" s="170" t="str">
        <f>VLOOKUP($A36,'ANEXO XVII- MEMORIA DE CALCULO'!$A$1:$P8738,2,0)</f>
        <v>COT 01</v>
      </c>
      <c r="D36" s="171" t="s">
        <v>78</v>
      </c>
      <c r="E36" s="170" t="s">
        <v>79</v>
      </c>
      <c r="F36" s="150">
        <v>382.5</v>
      </c>
      <c r="G36" s="149">
        <v>55.666666666666664</v>
      </c>
      <c r="H36" s="149">
        <f>G36*0.15</f>
        <v>8.35</v>
      </c>
      <c r="I36" s="149"/>
      <c r="J36" s="149">
        <f t="shared" si="4"/>
        <v>64.02</v>
      </c>
      <c r="K36" s="176">
        <f t="shared" si="5"/>
        <v>24487.65</v>
      </c>
      <c r="L36" s="127">
        <f t="shared" si="6"/>
        <v>2.9691109829916934E-2</v>
      </c>
      <c r="P36" s="177"/>
      <c r="R36" s="149"/>
    </row>
    <row r="37" spans="1:18" ht="25.5">
      <c r="A37" s="169" t="s">
        <v>80</v>
      </c>
      <c r="B37" s="145" t="s">
        <v>275</v>
      </c>
      <c r="C37" s="170" t="str">
        <f>VLOOKUP($A37,'ANEXO XVII- MEMORIA DE CALCULO'!$A$1:$P8739,2,0)</f>
        <v>COT  02</v>
      </c>
      <c r="D37" s="171" t="s">
        <v>82</v>
      </c>
      <c r="E37" s="170" t="s">
        <v>79</v>
      </c>
      <c r="F37" s="150">
        <v>67.709999999999994</v>
      </c>
      <c r="G37" s="149">
        <v>53.333333333333336</v>
      </c>
      <c r="H37" s="149">
        <f>G37*0.15</f>
        <v>8</v>
      </c>
      <c r="I37" s="149"/>
      <c r="J37" s="149">
        <f t="shared" si="4"/>
        <v>61.33</v>
      </c>
      <c r="K37" s="176">
        <f t="shared" si="5"/>
        <v>4152.6499999999996</v>
      </c>
      <c r="L37" s="127">
        <f t="shared" si="6"/>
        <v>5.0350600092374945E-3</v>
      </c>
      <c r="P37" s="177"/>
      <c r="R37" s="149"/>
    </row>
    <row r="38" spans="1:18">
      <c r="A38" s="151"/>
      <c r="B38" s="152"/>
      <c r="C38" s="153"/>
      <c r="D38" s="154"/>
      <c r="E38" s="153"/>
      <c r="F38" s="155"/>
      <c r="G38" s="156"/>
      <c r="H38" s="156"/>
      <c r="I38" s="156"/>
      <c r="J38" s="156"/>
      <c r="K38" s="157"/>
      <c r="R38" s="178"/>
    </row>
    <row r="39" spans="1:18">
      <c r="A39" s="162" t="s">
        <v>83</v>
      </c>
      <c r="B39" s="141"/>
      <c r="C39" s="163"/>
      <c r="D39" s="142" t="s">
        <v>282</v>
      </c>
      <c r="E39" s="164"/>
      <c r="F39" s="165"/>
      <c r="G39" s="166">
        <v>381824.15</v>
      </c>
      <c r="H39" s="166"/>
      <c r="I39" s="166"/>
      <c r="J39" s="166"/>
      <c r="K39" s="167"/>
      <c r="R39" s="168">
        <f>SUM(R40:R48)</f>
        <v>33361.96</v>
      </c>
    </row>
    <row r="40" spans="1:18">
      <c r="A40" s="179"/>
      <c r="B40" s="180"/>
      <c r="C40" s="181" t="e">
        <f>VLOOKUP($A40,'ANEXO XVII- MEMORIA DE CALCULO'!$A$1:$P8738,2,0)</f>
        <v>#N/A</v>
      </c>
      <c r="D40" s="182" t="s">
        <v>85</v>
      </c>
      <c r="E40" s="181">
        <v>0</v>
      </c>
      <c r="F40" s="183">
        <v>0</v>
      </c>
      <c r="G40" s="184"/>
      <c r="H40" s="184"/>
      <c r="I40" s="184"/>
      <c r="J40" s="184"/>
      <c r="K40" s="184"/>
      <c r="P40" s="177">
        <v>184</v>
      </c>
      <c r="R40" s="149">
        <f>P40*J40</f>
        <v>0</v>
      </c>
    </row>
    <row r="41" spans="1:18" ht="25.5">
      <c r="A41" s="169" t="s">
        <v>84</v>
      </c>
      <c r="B41" s="145" t="s">
        <v>14</v>
      </c>
      <c r="C41" s="170">
        <f>VLOOKUP($A41,'ANEXO XVII- MEMORIA DE CALCULO'!$A$1:$P8739,2,0)</f>
        <v>0</v>
      </c>
      <c r="D41" s="171" t="s">
        <v>87</v>
      </c>
      <c r="E41" s="170" t="s">
        <v>53</v>
      </c>
      <c r="F41" s="150">
        <v>5.83</v>
      </c>
      <c r="G41" s="149">
        <v>251.72</v>
      </c>
      <c r="H41" s="149"/>
      <c r="I41" s="149">
        <f>G41*$N$8</f>
        <v>62.93</v>
      </c>
      <c r="J41" s="149">
        <f t="shared" ref="J41:J52" si="7">ROUND((SUM(G41:I41)),2)</f>
        <v>314.64999999999998</v>
      </c>
      <c r="K41" s="176">
        <f t="shared" ref="K41:K52" si="8">ROUND(F41*J41,2)</f>
        <v>1834.41</v>
      </c>
      <c r="L41" s="127">
        <f t="shared" ref="L41:L52" si="9">K41/$K$97</f>
        <v>2.2242097050185674E-3</v>
      </c>
      <c r="P41" s="177">
        <v>92</v>
      </c>
      <c r="R41" s="149">
        <f>P41*J41</f>
        <v>28947.8</v>
      </c>
    </row>
    <row r="42" spans="1:18" ht="25.5">
      <c r="A42" s="169" t="s">
        <v>95</v>
      </c>
      <c r="B42" s="145" t="s">
        <v>14</v>
      </c>
      <c r="C42" s="170">
        <f>VLOOKUP($A42,'ANEXO XVII- MEMORIA DE CALCULO'!$A$1:$P8740,2,0)</f>
        <v>0</v>
      </c>
      <c r="D42" s="171" t="s">
        <v>89</v>
      </c>
      <c r="E42" s="170" t="s">
        <v>53</v>
      </c>
      <c r="F42" s="150">
        <v>5.83</v>
      </c>
      <c r="G42" s="149">
        <v>19.190000000000001</v>
      </c>
      <c r="H42" s="149"/>
      <c r="I42" s="149">
        <f>G42*$N$8</f>
        <v>4.7975000000000003</v>
      </c>
      <c r="J42" s="149">
        <f t="shared" si="7"/>
        <v>23.99</v>
      </c>
      <c r="K42" s="176">
        <f t="shared" si="8"/>
        <v>139.86000000000001</v>
      </c>
      <c r="L42" s="127">
        <f t="shared" si="9"/>
        <v>1.6957930306959559E-4</v>
      </c>
      <c r="P42" s="177">
        <v>184</v>
      </c>
      <c r="R42" s="149">
        <f>P42*J42</f>
        <v>4414.16</v>
      </c>
    </row>
    <row r="43" spans="1:18" ht="25.5">
      <c r="A43" s="169" t="s">
        <v>283</v>
      </c>
      <c r="B43" s="145" t="s">
        <v>14</v>
      </c>
      <c r="C43" s="170" t="e">
        <f>VLOOKUP($A43,'ANEXO XVII- MEMORIA DE CALCULO'!$A$1:$P8741,2,0)</f>
        <v>#N/A</v>
      </c>
      <c r="D43" s="171" t="s">
        <v>91</v>
      </c>
      <c r="E43" s="170" t="s">
        <v>17</v>
      </c>
      <c r="F43" s="150">
        <v>65.2</v>
      </c>
      <c r="G43" s="149">
        <v>23.33</v>
      </c>
      <c r="H43" s="149"/>
      <c r="I43" s="149">
        <f>G43*$N$8</f>
        <v>5.8324999999999996</v>
      </c>
      <c r="J43" s="149">
        <f t="shared" si="7"/>
        <v>29.16</v>
      </c>
      <c r="K43" s="176">
        <f t="shared" si="8"/>
        <v>1901.23</v>
      </c>
      <c r="L43" s="127">
        <f t="shared" si="9"/>
        <v>2.3052285026098039E-3</v>
      </c>
      <c r="P43" s="185"/>
      <c r="R43" s="161"/>
    </row>
    <row r="44" spans="1:18" ht="25.5">
      <c r="A44" s="169" t="s">
        <v>284</v>
      </c>
      <c r="B44" s="145" t="s">
        <v>275</v>
      </c>
      <c r="C44" s="170" t="e">
        <f>VLOOKUP($A44,'ANEXO XVII- MEMORIA DE CALCULO'!$A$1:$P8742,2,0)</f>
        <v>#N/A</v>
      </c>
      <c r="D44" s="171" t="s">
        <v>94</v>
      </c>
      <c r="E44" s="170" t="s">
        <v>53</v>
      </c>
      <c r="F44" s="150">
        <v>35.6</v>
      </c>
      <c r="G44" s="149">
        <v>382.27449999999999</v>
      </c>
      <c r="H44" s="149"/>
      <c r="I44" s="149">
        <f>G44*$N$8</f>
        <v>95.568624999999997</v>
      </c>
      <c r="J44" s="149">
        <f t="shared" si="7"/>
        <v>477.84</v>
      </c>
      <c r="K44" s="176">
        <f t="shared" si="8"/>
        <v>17011.099999999999</v>
      </c>
      <c r="L44" s="127">
        <f t="shared" si="9"/>
        <v>2.0625843575341033E-2</v>
      </c>
      <c r="P44" s="185"/>
      <c r="R44" s="161"/>
    </row>
    <row r="45" spans="1:18">
      <c r="A45" s="186"/>
      <c r="B45" s="180"/>
      <c r="C45" s="187" t="e">
        <f>VLOOKUP($A45,'ANEXO XVII- MEMORIA DE CALCULO'!$A$1:$P8744,2,0)</f>
        <v>#N/A</v>
      </c>
      <c r="D45" s="188" t="s">
        <v>96</v>
      </c>
      <c r="E45" s="187">
        <v>0</v>
      </c>
      <c r="F45" s="189">
        <v>0</v>
      </c>
      <c r="G45" s="190"/>
      <c r="H45" s="190"/>
      <c r="I45" s="190"/>
      <c r="J45" s="149">
        <f t="shared" si="7"/>
        <v>0</v>
      </c>
      <c r="K45" s="176">
        <f t="shared" si="8"/>
        <v>0</v>
      </c>
      <c r="L45" s="127">
        <f t="shared" si="9"/>
        <v>0</v>
      </c>
      <c r="P45" s="185"/>
      <c r="R45" s="161"/>
    </row>
    <row r="46" spans="1:18" ht="25.5">
      <c r="A46" s="169" t="s">
        <v>285</v>
      </c>
      <c r="B46" s="145" t="s">
        <v>275</v>
      </c>
      <c r="C46" s="170" t="e">
        <f>VLOOKUP($A46,'ANEXO XVII- MEMORIA DE CALCULO'!$A$1:$P8748,2,0)</f>
        <v>#N/A</v>
      </c>
      <c r="D46" s="171" t="s">
        <v>286</v>
      </c>
      <c r="E46" s="170" t="s">
        <v>17</v>
      </c>
      <c r="F46" s="150">
        <v>853.81</v>
      </c>
      <c r="G46" s="149">
        <v>60.880869999999987</v>
      </c>
      <c r="H46" s="149"/>
      <c r="I46" s="149">
        <f t="shared" ref="I46:I52" si="10">G46*$N$8</f>
        <v>15.220217499999997</v>
      </c>
      <c r="J46" s="149">
        <f t="shared" si="7"/>
        <v>76.099999999999994</v>
      </c>
      <c r="K46" s="176">
        <f t="shared" si="8"/>
        <v>64974.94</v>
      </c>
      <c r="L46" s="127">
        <f t="shared" si="9"/>
        <v>7.8781674833324669E-2</v>
      </c>
      <c r="P46" s="185"/>
      <c r="R46" s="161"/>
    </row>
    <row r="47" spans="1:18" ht="25.5">
      <c r="A47" s="169" t="s">
        <v>287</v>
      </c>
      <c r="B47" s="145" t="s">
        <v>275</v>
      </c>
      <c r="C47" s="170" t="e">
        <f>VLOOKUP($A47,'ANEXO XVII- MEMORIA DE CALCULO'!$A$1:$P8749,2,0)</f>
        <v>#N/A</v>
      </c>
      <c r="D47" s="171" t="s">
        <v>288</v>
      </c>
      <c r="E47" s="170" t="s">
        <v>17</v>
      </c>
      <c r="F47" s="150">
        <v>853.81</v>
      </c>
      <c r="G47" s="149">
        <v>27.497700000000002</v>
      </c>
      <c r="H47" s="149"/>
      <c r="I47" s="149">
        <f t="shared" si="10"/>
        <v>6.8744250000000005</v>
      </c>
      <c r="J47" s="149">
        <f t="shared" si="7"/>
        <v>34.369999999999997</v>
      </c>
      <c r="K47" s="176">
        <f t="shared" si="8"/>
        <v>29345.45</v>
      </c>
      <c r="L47" s="127">
        <f t="shared" si="9"/>
        <v>3.5581159439894636E-2</v>
      </c>
      <c r="P47" s="185"/>
      <c r="R47" s="161"/>
    </row>
    <row r="48" spans="1:18" ht="36">
      <c r="A48" s="169" t="s">
        <v>289</v>
      </c>
      <c r="B48" s="145" t="s">
        <v>275</v>
      </c>
      <c r="C48" s="170" t="e">
        <f>VLOOKUP($A48,'ANEXO XVII- MEMORIA DE CALCULO'!$A$1:$P8750,2,0)</f>
        <v>#N/A</v>
      </c>
      <c r="D48" s="171" t="s">
        <v>290</v>
      </c>
      <c r="E48" s="170" t="s">
        <v>291</v>
      </c>
      <c r="F48" s="150">
        <v>6662</v>
      </c>
      <c r="G48" s="149">
        <v>10.152878000000001</v>
      </c>
      <c r="H48" s="149"/>
      <c r="I48" s="149">
        <f t="shared" si="10"/>
        <v>2.5382195000000003</v>
      </c>
      <c r="J48" s="149">
        <f t="shared" si="7"/>
        <v>12.69</v>
      </c>
      <c r="K48" s="176">
        <f t="shared" si="8"/>
        <v>84540.78</v>
      </c>
      <c r="L48" s="127">
        <f t="shared" si="9"/>
        <v>0.1025051233616474</v>
      </c>
      <c r="P48" s="185"/>
      <c r="R48" s="161"/>
    </row>
    <row r="49" spans="1:18" ht="36">
      <c r="A49" s="169" t="s">
        <v>292</v>
      </c>
      <c r="B49" s="145" t="s">
        <v>275</v>
      </c>
      <c r="C49" s="170" t="e">
        <f>VLOOKUP($A49,'ANEXO XVII- MEMORIA DE CALCULO'!$A$1:$P8751,2,0)</f>
        <v>#N/A</v>
      </c>
      <c r="D49" s="171" t="s">
        <v>293</v>
      </c>
      <c r="E49" s="170" t="s">
        <v>291</v>
      </c>
      <c r="F49" s="150">
        <v>6830</v>
      </c>
      <c r="G49" s="149">
        <v>9.2028780000000001</v>
      </c>
      <c r="H49" s="149"/>
      <c r="I49" s="149">
        <f t="shared" si="10"/>
        <v>2.3007195</v>
      </c>
      <c r="J49" s="149">
        <f t="shared" si="7"/>
        <v>11.5</v>
      </c>
      <c r="K49" s="176">
        <f t="shared" si="8"/>
        <v>78545</v>
      </c>
      <c r="L49" s="127">
        <f t="shared" si="9"/>
        <v>9.52352807064306E-2</v>
      </c>
      <c r="P49" s="185"/>
      <c r="R49" s="161"/>
    </row>
    <row r="50" spans="1:18" ht="36">
      <c r="A50" s="169" t="s">
        <v>294</v>
      </c>
      <c r="B50" s="145" t="s">
        <v>275</v>
      </c>
      <c r="C50" s="170" t="e">
        <f>VLOOKUP($A50,'ANEXO XVII- MEMORIA DE CALCULO'!$A$1:$P8752,2,0)</f>
        <v>#N/A</v>
      </c>
      <c r="D50" s="171" t="s">
        <v>295</v>
      </c>
      <c r="E50" s="170" t="s">
        <v>291</v>
      </c>
      <c r="F50" s="150">
        <v>2296</v>
      </c>
      <c r="G50" s="149">
        <v>8.3628780000000003</v>
      </c>
      <c r="H50" s="149"/>
      <c r="I50" s="149">
        <f t="shared" si="10"/>
        <v>2.0907195000000001</v>
      </c>
      <c r="J50" s="149">
        <f t="shared" si="7"/>
        <v>10.45</v>
      </c>
      <c r="K50" s="176">
        <f t="shared" si="8"/>
        <v>23993.200000000001</v>
      </c>
      <c r="L50" s="127">
        <f t="shared" si="9"/>
        <v>2.9091592552619911E-2</v>
      </c>
      <c r="P50" s="185"/>
      <c r="R50" s="161"/>
    </row>
    <row r="51" spans="1:18" ht="36">
      <c r="A51" s="169" t="s">
        <v>296</v>
      </c>
      <c r="B51" s="145" t="s">
        <v>275</v>
      </c>
      <c r="C51" s="170" t="e">
        <f>VLOOKUP($A51,'ANEXO XVII- MEMORIA DE CALCULO'!$A$1:$P8753,2,0)</f>
        <v>#N/A</v>
      </c>
      <c r="D51" s="171" t="s">
        <v>297</v>
      </c>
      <c r="E51" s="170" t="s">
        <v>291</v>
      </c>
      <c r="F51" s="150">
        <v>478</v>
      </c>
      <c r="G51" s="149">
        <v>8.5664759999999998</v>
      </c>
      <c r="H51" s="149"/>
      <c r="I51" s="149">
        <f t="shared" si="10"/>
        <v>2.1416189999999999</v>
      </c>
      <c r="J51" s="149">
        <f t="shared" si="7"/>
        <v>10.71</v>
      </c>
      <c r="K51" s="176">
        <f t="shared" si="8"/>
        <v>5119.38</v>
      </c>
      <c r="L51" s="127">
        <f t="shared" si="9"/>
        <v>6.2072135889348363E-3</v>
      </c>
      <c r="P51" s="185"/>
      <c r="R51" s="161"/>
    </row>
    <row r="52" spans="1:18" ht="25.5">
      <c r="A52" s="169" t="s">
        <v>298</v>
      </c>
      <c r="B52" s="145" t="s">
        <v>275</v>
      </c>
      <c r="C52" s="170" t="e">
        <f>VLOOKUP($A52,'ANEXO XVII- MEMORIA DE CALCULO'!$A$1:$P8754,2,0)</f>
        <v>#N/A</v>
      </c>
      <c r="D52" s="171" t="s">
        <v>94</v>
      </c>
      <c r="E52" s="170" t="s">
        <v>53</v>
      </c>
      <c r="F52" s="150">
        <v>155.74</v>
      </c>
      <c r="G52" s="149">
        <v>382.27449999999999</v>
      </c>
      <c r="H52" s="149"/>
      <c r="I52" s="149">
        <f t="shared" si="10"/>
        <v>95.568624999999997</v>
      </c>
      <c r="J52" s="149">
        <f t="shared" si="7"/>
        <v>477.84</v>
      </c>
      <c r="K52" s="176">
        <f t="shared" si="8"/>
        <v>74418.8</v>
      </c>
      <c r="L52" s="127">
        <f t="shared" si="9"/>
        <v>9.023229114311182E-2</v>
      </c>
      <c r="P52" s="185"/>
      <c r="R52" s="161"/>
    </row>
    <row r="53" spans="1:18">
      <c r="A53" s="151"/>
      <c r="B53" s="152"/>
      <c r="C53" s="153"/>
      <c r="D53" s="154"/>
      <c r="E53" s="153"/>
      <c r="F53" s="155"/>
      <c r="G53" s="156"/>
      <c r="H53" s="156"/>
      <c r="I53" s="156"/>
      <c r="J53" s="156"/>
      <c r="K53" s="157"/>
    </row>
    <row r="54" spans="1:18">
      <c r="A54" s="162" t="s">
        <v>104</v>
      </c>
      <c r="B54" s="141"/>
      <c r="C54" s="163"/>
      <c r="D54" s="142" t="s">
        <v>105</v>
      </c>
      <c r="E54" s="164"/>
      <c r="F54" s="165"/>
      <c r="G54" s="166">
        <v>39089.339999999997</v>
      </c>
      <c r="H54" s="166"/>
      <c r="I54" s="166"/>
      <c r="J54" s="166"/>
      <c r="K54" s="167"/>
      <c r="R54" s="168">
        <f>SUM(R55:R57)</f>
        <v>230046.68000000002</v>
      </c>
    </row>
    <row r="55" spans="1:18" ht="36">
      <c r="A55" s="172" t="s">
        <v>106</v>
      </c>
      <c r="B55" s="191" t="s">
        <v>275</v>
      </c>
      <c r="C55" s="173" t="str">
        <f>VLOOKUP($A55,'ANEXO XVII- MEMORIA DE CALCULO'!$A$1:$P8742,2,0)</f>
        <v>CPU 7.001</v>
      </c>
      <c r="D55" s="174" t="s">
        <v>299</v>
      </c>
      <c r="E55" s="173" t="s">
        <v>17</v>
      </c>
      <c r="F55" s="175">
        <v>96.72999999999999</v>
      </c>
      <c r="G55" s="176">
        <v>54.335999999999991</v>
      </c>
      <c r="H55" s="176"/>
      <c r="I55" s="176">
        <f>G55*$N$8</f>
        <v>13.583999999999998</v>
      </c>
      <c r="J55" s="149">
        <f>ROUND((SUM(G55:I55)),2)</f>
        <v>67.92</v>
      </c>
      <c r="K55" s="176">
        <f>ROUND(F55*J55,2)</f>
        <v>6569.9</v>
      </c>
      <c r="L55" s="127">
        <f>K55/$K$97</f>
        <v>7.9659592681033606E-3</v>
      </c>
      <c r="P55" s="177">
        <v>1404</v>
      </c>
      <c r="R55" s="149">
        <f>P55*J55</f>
        <v>95359.680000000008</v>
      </c>
    </row>
    <row r="56" spans="1:18" ht="36">
      <c r="A56" s="169" t="s">
        <v>108</v>
      </c>
      <c r="B56" s="145" t="s">
        <v>275</v>
      </c>
      <c r="C56" s="170" t="str">
        <f>VLOOKUP($A56,'ANEXO XVII- MEMORIA DE CALCULO'!$A$1:$P8743,2,0)</f>
        <v>CPU 7.002</v>
      </c>
      <c r="D56" s="171" t="s">
        <v>300</v>
      </c>
      <c r="E56" s="170" t="s">
        <v>17</v>
      </c>
      <c r="F56" s="150">
        <v>95.12</v>
      </c>
      <c r="G56" s="149">
        <v>63.545999999999992</v>
      </c>
      <c r="H56" s="149"/>
      <c r="I56" s="149">
        <f>G56*$N$8</f>
        <v>15.886499999999998</v>
      </c>
      <c r="J56" s="149">
        <f>ROUND((SUM(G56:I56)),2)</f>
        <v>79.430000000000007</v>
      </c>
      <c r="K56" s="176">
        <f>ROUND(F56*J56,2)</f>
        <v>7555.38</v>
      </c>
      <c r="L56" s="127">
        <f>K56/$K$97</f>
        <v>9.1608470958527179E-3</v>
      </c>
      <c r="P56" s="177">
        <v>700</v>
      </c>
      <c r="R56" s="149">
        <f>P56*J56</f>
        <v>55601.000000000007</v>
      </c>
    </row>
    <row r="57" spans="1:18" ht="36">
      <c r="A57" s="169" t="s">
        <v>110</v>
      </c>
      <c r="B57" s="145" t="s">
        <v>275</v>
      </c>
      <c r="C57" s="170" t="str">
        <f>VLOOKUP($A57,'ANEXO XVII- MEMORIA DE CALCULO'!$A$1:$P8744,2,0)</f>
        <v>CPU 7.003</v>
      </c>
      <c r="D57" s="171" t="s">
        <v>301</v>
      </c>
      <c r="E57" s="170" t="s">
        <v>112</v>
      </c>
      <c r="F57" s="150">
        <v>220.96</v>
      </c>
      <c r="G57" s="149">
        <v>90.380149999999986</v>
      </c>
      <c r="H57" s="149"/>
      <c r="I57" s="149">
        <f>G57*$N$8</f>
        <v>22.595037499999997</v>
      </c>
      <c r="J57" s="149">
        <f>ROUND((SUM(G57:I57)),2)</f>
        <v>112.98</v>
      </c>
      <c r="K57" s="176">
        <f>ROUND(F57*J57,2)</f>
        <v>24964.06</v>
      </c>
      <c r="L57" s="127">
        <f>K57/$K$97</f>
        <v>3.0268753729354843E-2</v>
      </c>
      <c r="P57" s="177">
        <v>700</v>
      </c>
      <c r="R57" s="149">
        <f>P57*J57</f>
        <v>79086</v>
      </c>
    </row>
    <row r="58" spans="1:18">
      <c r="A58" s="151"/>
      <c r="B58" s="152"/>
      <c r="C58" s="153"/>
      <c r="D58" s="154"/>
      <c r="E58" s="153"/>
      <c r="F58" s="155"/>
      <c r="G58" s="156"/>
      <c r="H58" s="156"/>
      <c r="I58" s="156"/>
      <c r="J58" s="156"/>
      <c r="K58" s="157"/>
    </row>
    <row r="59" spans="1:18">
      <c r="A59" s="162" t="s">
        <v>113</v>
      </c>
      <c r="B59" s="141"/>
      <c r="C59" s="163"/>
      <c r="D59" s="142" t="s">
        <v>114</v>
      </c>
      <c r="E59" s="164"/>
      <c r="F59" s="165"/>
      <c r="G59" s="166">
        <v>17296.350000000002</v>
      </c>
      <c r="H59" s="166"/>
      <c r="I59" s="166"/>
      <c r="J59" s="166"/>
      <c r="K59" s="167"/>
      <c r="R59" s="168">
        <f>SUM(R60:R62)</f>
        <v>22657.32</v>
      </c>
    </row>
    <row r="60" spans="1:18" ht="25.5">
      <c r="A60" s="172" t="s">
        <v>115</v>
      </c>
      <c r="B60" s="191" t="s">
        <v>14</v>
      </c>
      <c r="C60" s="173">
        <f>VLOOKUP($A60,'ANEXO XVII- MEMORIA DE CALCULO'!$A$1:$P8748,2,0)</f>
        <v>88483</v>
      </c>
      <c r="D60" s="174" t="s">
        <v>117</v>
      </c>
      <c r="E60" s="173" t="s">
        <v>17</v>
      </c>
      <c r="F60" s="175">
        <v>530.32000000000005</v>
      </c>
      <c r="G60" s="176">
        <v>4.17</v>
      </c>
      <c r="H60" s="176"/>
      <c r="I60" s="176">
        <f>G60*$N$8</f>
        <v>1.0425</v>
      </c>
      <c r="J60" s="149">
        <f>ROUND((SUM(G60:I60)),2)</f>
        <v>5.21</v>
      </c>
      <c r="K60" s="176">
        <f>ROUND(F60*J60,2)</f>
        <v>2762.97</v>
      </c>
      <c r="L60" s="127">
        <f>K60/$K$97</f>
        <v>3.3500824181481514E-3</v>
      </c>
      <c r="P60" s="177">
        <v>1404</v>
      </c>
      <c r="R60" s="149">
        <f>P60*J60</f>
        <v>7314.84</v>
      </c>
    </row>
    <row r="61" spans="1:18" ht="25.5">
      <c r="A61" s="169" t="s">
        <v>118</v>
      </c>
      <c r="B61" s="145" t="s">
        <v>14</v>
      </c>
      <c r="C61" s="170">
        <f>VLOOKUP($A61,'ANEXO XVII- MEMORIA DE CALCULO'!$A$1:$P8749,2,0)</f>
        <v>88495</v>
      </c>
      <c r="D61" s="171" t="s">
        <v>119</v>
      </c>
      <c r="E61" s="170" t="s">
        <v>17</v>
      </c>
      <c r="F61" s="150">
        <v>530.32000000000005</v>
      </c>
      <c r="G61" s="149">
        <v>5.83</v>
      </c>
      <c r="H61" s="149"/>
      <c r="I61" s="149">
        <f>G61*$N$8</f>
        <v>1.4575</v>
      </c>
      <c r="J61" s="149">
        <f>ROUND((SUM(G61:I61)),2)</f>
        <v>7.29</v>
      </c>
      <c r="K61" s="176">
        <f>ROUND(F61*J61,2)</f>
        <v>3866.03</v>
      </c>
      <c r="L61" s="127">
        <f>K61/$K$97</f>
        <v>4.6875351998151623E-3</v>
      </c>
      <c r="P61" s="177">
        <v>936</v>
      </c>
      <c r="R61" s="149">
        <f>P61*J61</f>
        <v>6823.44</v>
      </c>
    </row>
    <row r="62" spans="1:18" ht="25.5">
      <c r="A62" s="169" t="s">
        <v>120</v>
      </c>
      <c r="B62" s="145" t="s">
        <v>14</v>
      </c>
      <c r="C62" s="170">
        <f>VLOOKUP($A62,'ANEXO XVII- MEMORIA DE CALCULO'!$A$1:$P8750,2,0)</f>
        <v>88489</v>
      </c>
      <c r="D62" s="171" t="s">
        <v>121</v>
      </c>
      <c r="E62" s="170" t="s">
        <v>17</v>
      </c>
      <c r="F62" s="150">
        <v>530.32000000000005</v>
      </c>
      <c r="G62" s="149">
        <v>8.35</v>
      </c>
      <c r="H62" s="149"/>
      <c r="I62" s="149">
        <f>G62*$N$8</f>
        <v>2.0874999999999999</v>
      </c>
      <c r="J62" s="149">
        <f>ROUND((SUM(G62:I62)),2)</f>
        <v>10.44</v>
      </c>
      <c r="K62" s="176">
        <f>ROUND(F62*J62,2)</f>
        <v>5536.54</v>
      </c>
      <c r="L62" s="127">
        <f>K62/$K$97</f>
        <v>6.7130172645283757E-3</v>
      </c>
      <c r="P62" s="177">
        <v>816</v>
      </c>
      <c r="R62" s="149">
        <f>P62*J62</f>
        <v>8519.0399999999991</v>
      </c>
    </row>
    <row r="63" spans="1:18" ht="25.5">
      <c r="A63" s="169" t="s">
        <v>122</v>
      </c>
      <c r="B63" s="145" t="s">
        <v>14</v>
      </c>
      <c r="C63" s="170">
        <f>VLOOKUP($A63,'ANEXO XVII- MEMORIA DE CALCULO'!$A$1:$P8752,2,0)</f>
        <v>84677</v>
      </c>
      <c r="D63" s="171" t="s">
        <v>126</v>
      </c>
      <c r="E63" s="170" t="s">
        <v>17</v>
      </c>
      <c r="F63" s="150">
        <v>566.93999999999994</v>
      </c>
      <c r="G63" s="149">
        <v>7.24</v>
      </c>
      <c r="H63" s="149"/>
      <c r="I63" s="149">
        <f>G63*$N$8</f>
        <v>1.81</v>
      </c>
      <c r="J63" s="149">
        <f>ROUND((SUM(G63:I63)),2)</f>
        <v>9.0500000000000007</v>
      </c>
      <c r="K63" s="176">
        <f>ROUND(F63*J63,2)</f>
        <v>5130.8100000000004</v>
      </c>
      <c r="L63" s="127">
        <f>K63/$K$97</f>
        <v>6.2210723865473456E-3</v>
      </c>
      <c r="P63" s="185"/>
      <c r="R63" s="161"/>
    </row>
    <row r="64" spans="1:18">
      <c r="A64" s="151"/>
      <c r="B64" s="152"/>
      <c r="C64" s="153"/>
      <c r="D64" s="154"/>
      <c r="E64" s="153"/>
      <c r="F64" s="155"/>
      <c r="G64" s="156"/>
      <c r="H64" s="156"/>
      <c r="I64" s="156"/>
      <c r="J64" s="156"/>
      <c r="K64" s="157"/>
    </row>
    <row r="65" spans="1:18">
      <c r="A65" s="162" t="s">
        <v>127</v>
      </c>
      <c r="B65" s="141"/>
      <c r="C65" s="163"/>
      <c r="D65" s="142" t="s">
        <v>302</v>
      </c>
      <c r="E65" s="164"/>
      <c r="F65" s="165"/>
      <c r="G65" s="166">
        <v>133056.50999999998</v>
      </c>
      <c r="H65" s="166"/>
      <c r="I65" s="166"/>
      <c r="J65" s="166"/>
      <c r="K65" s="167"/>
      <c r="R65" s="168">
        <f>SUM(R66:R67)</f>
        <v>1765085.28</v>
      </c>
    </row>
    <row r="66" spans="1:18">
      <c r="A66" s="186"/>
      <c r="B66" s="180"/>
      <c r="C66" s="187" t="e">
        <f>VLOOKUP($A66,'ANEXO XVII- MEMORIA DE CALCULO'!$A$1:$P8754,2,0)</f>
        <v>#N/A</v>
      </c>
      <c r="D66" s="188" t="s">
        <v>130</v>
      </c>
      <c r="E66" s="187">
        <v>0</v>
      </c>
      <c r="F66" s="189">
        <v>0</v>
      </c>
      <c r="G66" s="190"/>
      <c r="H66" s="190"/>
      <c r="I66" s="190"/>
      <c r="J66" s="190"/>
      <c r="K66" s="190"/>
      <c r="P66" s="177">
        <v>3508</v>
      </c>
      <c r="R66" s="149">
        <f>P66*J66</f>
        <v>0</v>
      </c>
    </row>
    <row r="67" spans="1:18" ht="25.5">
      <c r="A67" s="169" t="s">
        <v>129</v>
      </c>
      <c r="B67" s="145" t="s">
        <v>275</v>
      </c>
      <c r="C67" s="170">
        <f>VLOOKUP($A67,'ANEXO XVII- MEMORIA DE CALCULO'!$A$1:$P8755,2,0)</f>
        <v>0</v>
      </c>
      <c r="D67" s="171" t="s">
        <v>303</v>
      </c>
      <c r="E67" s="170" t="s">
        <v>30</v>
      </c>
      <c r="F67" s="150">
        <v>5</v>
      </c>
      <c r="G67" s="149">
        <v>402.53</v>
      </c>
      <c r="H67" s="149"/>
      <c r="I67" s="149">
        <f>G67*$N$8</f>
        <v>100.63249999999999</v>
      </c>
      <c r="J67" s="149">
        <f t="shared" ref="J67:J86" si="11">ROUND((SUM(G67:I67)),2)</f>
        <v>503.16</v>
      </c>
      <c r="K67" s="176">
        <f t="shared" ref="K67:K86" si="12">ROUND(F67*J67,2)</f>
        <v>2515.8000000000002</v>
      </c>
      <c r="L67" s="127">
        <f t="shared" ref="L67:L86" si="13">K67/$K$97</f>
        <v>3.0503904666272599E-3</v>
      </c>
      <c r="P67" s="177">
        <v>3508</v>
      </c>
      <c r="R67" s="149">
        <f>P67*J67</f>
        <v>1765085.28</v>
      </c>
    </row>
    <row r="68" spans="1:18" ht="25.5">
      <c r="A68" s="169" t="s">
        <v>137</v>
      </c>
      <c r="B68" s="145" t="s">
        <v>14</v>
      </c>
      <c r="C68" s="170">
        <f>VLOOKUP($A68,'ANEXO XVII- MEMORIA DE CALCULO'!$A$1:$P8756,2,0)</f>
        <v>0</v>
      </c>
      <c r="D68" s="171" t="s">
        <v>134</v>
      </c>
      <c r="E68" s="170" t="s">
        <v>30</v>
      </c>
      <c r="F68" s="150">
        <v>11</v>
      </c>
      <c r="G68" s="149">
        <v>113.09</v>
      </c>
      <c r="H68" s="149"/>
      <c r="I68" s="149">
        <f>G68*$N$8</f>
        <v>28.272500000000001</v>
      </c>
      <c r="J68" s="149">
        <f t="shared" si="11"/>
        <v>141.36000000000001</v>
      </c>
      <c r="K68" s="176">
        <f t="shared" si="12"/>
        <v>1554.96</v>
      </c>
      <c r="L68" s="127">
        <f t="shared" si="13"/>
        <v>1.8853784720513252E-3</v>
      </c>
      <c r="P68" s="185"/>
      <c r="R68" s="161"/>
    </row>
    <row r="69" spans="1:18" ht="25.5">
      <c r="A69" s="169" t="s">
        <v>151</v>
      </c>
      <c r="B69" s="145" t="s">
        <v>275</v>
      </c>
      <c r="C69" s="170">
        <f>VLOOKUP($A69,'ANEXO XVII- MEMORIA DE CALCULO'!$A$1:$P8757,2,0)</f>
        <v>0</v>
      </c>
      <c r="D69" s="171" t="s">
        <v>304</v>
      </c>
      <c r="E69" s="170" t="s">
        <v>30</v>
      </c>
      <c r="F69" s="150">
        <v>5</v>
      </c>
      <c r="G69" s="149">
        <v>182.75790599999999</v>
      </c>
      <c r="H69" s="149"/>
      <c r="I69" s="149">
        <f>G69*$N$8</f>
        <v>45.689476499999998</v>
      </c>
      <c r="J69" s="149">
        <f t="shared" si="11"/>
        <v>228.45</v>
      </c>
      <c r="K69" s="176">
        <f t="shared" si="12"/>
        <v>1142.25</v>
      </c>
      <c r="L69" s="127">
        <f t="shared" si="13"/>
        <v>1.384970391328797E-3</v>
      </c>
      <c r="P69" s="185"/>
      <c r="R69" s="161"/>
    </row>
    <row r="70" spans="1:18">
      <c r="A70" s="186"/>
      <c r="B70" s="180"/>
      <c r="C70" s="187" t="e">
        <f>VLOOKUP($A70,'ANEXO XVII- MEMORIA DE CALCULO'!$A$1:$P8758,2,0)</f>
        <v>#N/A</v>
      </c>
      <c r="D70" s="188" t="s">
        <v>138</v>
      </c>
      <c r="E70" s="170">
        <v>0</v>
      </c>
      <c r="F70" s="150">
        <v>0</v>
      </c>
      <c r="G70" s="149"/>
      <c r="H70" s="149"/>
      <c r="I70" s="149"/>
      <c r="J70" s="149">
        <f t="shared" si="11"/>
        <v>0</v>
      </c>
      <c r="K70" s="176">
        <f t="shared" si="12"/>
        <v>0</v>
      </c>
      <c r="L70" s="127">
        <f t="shared" si="13"/>
        <v>0</v>
      </c>
      <c r="P70" s="185"/>
      <c r="R70" s="161"/>
    </row>
    <row r="71" spans="1:18" ht="25.5">
      <c r="A71" s="169" t="s">
        <v>159</v>
      </c>
      <c r="B71" s="145" t="s">
        <v>14</v>
      </c>
      <c r="C71" s="170">
        <f>VLOOKUP($A71,'ANEXO XVII- MEMORIA DE CALCULO'!$A$1:$P8759,2,0)</f>
        <v>0</v>
      </c>
      <c r="D71" s="171" t="s">
        <v>305</v>
      </c>
      <c r="E71" s="170" t="s">
        <v>112</v>
      </c>
      <c r="F71" s="150">
        <v>26.5</v>
      </c>
      <c r="G71" s="149">
        <v>22.03</v>
      </c>
      <c r="H71" s="149"/>
      <c r="I71" s="149">
        <f t="shared" ref="I71:I76" si="14">G71*$N$8</f>
        <v>5.5075000000000003</v>
      </c>
      <c r="J71" s="149">
        <f t="shared" si="11"/>
        <v>27.54</v>
      </c>
      <c r="K71" s="176">
        <f t="shared" si="12"/>
        <v>729.81</v>
      </c>
      <c r="L71" s="127">
        <f t="shared" si="13"/>
        <v>8.8488968377821778E-4</v>
      </c>
      <c r="P71" s="185"/>
      <c r="R71" s="161"/>
    </row>
    <row r="72" spans="1:18" ht="25.5">
      <c r="A72" s="169" t="s">
        <v>306</v>
      </c>
      <c r="B72" s="145" t="s">
        <v>275</v>
      </c>
      <c r="C72" s="170" t="e">
        <f>VLOOKUP($A72,'ANEXO XVII- MEMORIA DE CALCULO'!$A$1:$P8760,2,0)</f>
        <v>#N/A</v>
      </c>
      <c r="D72" s="171" t="s">
        <v>307</v>
      </c>
      <c r="E72" s="170" t="s">
        <v>112</v>
      </c>
      <c r="F72" s="150">
        <v>11</v>
      </c>
      <c r="G72" s="149">
        <v>70.69</v>
      </c>
      <c r="H72" s="149"/>
      <c r="I72" s="149">
        <f t="shared" si="14"/>
        <v>17.672499999999999</v>
      </c>
      <c r="J72" s="149">
        <f t="shared" si="11"/>
        <v>88.36</v>
      </c>
      <c r="K72" s="176">
        <f t="shared" si="12"/>
        <v>971.96</v>
      </c>
      <c r="L72" s="127">
        <f t="shared" si="13"/>
        <v>1.1784949192873168E-3</v>
      </c>
      <c r="P72" s="185"/>
      <c r="R72" s="161"/>
    </row>
    <row r="73" spans="1:18" ht="25.5">
      <c r="A73" s="169" t="s">
        <v>308</v>
      </c>
      <c r="B73" s="145" t="s">
        <v>275</v>
      </c>
      <c r="C73" s="170" t="e">
        <f>VLOOKUP($A73,'ANEXO XVII- MEMORIA DE CALCULO'!$A$1:$P8761,2,0)</f>
        <v>#N/A</v>
      </c>
      <c r="D73" s="171" t="s">
        <v>309</v>
      </c>
      <c r="E73" s="170" t="s">
        <v>112</v>
      </c>
      <c r="F73" s="150">
        <v>58.7</v>
      </c>
      <c r="G73" s="149">
        <v>50.878</v>
      </c>
      <c r="H73" s="149"/>
      <c r="I73" s="149">
        <f t="shared" si="14"/>
        <v>12.7195</v>
      </c>
      <c r="J73" s="149">
        <f t="shared" si="11"/>
        <v>63.6</v>
      </c>
      <c r="K73" s="176">
        <f t="shared" si="12"/>
        <v>3733.32</v>
      </c>
      <c r="L73" s="127">
        <f t="shared" si="13"/>
        <v>4.5266252233360687E-3</v>
      </c>
      <c r="P73" s="185"/>
      <c r="R73" s="161"/>
    </row>
    <row r="74" spans="1:18" ht="25.5">
      <c r="A74" s="169" t="s">
        <v>310</v>
      </c>
      <c r="B74" s="145" t="s">
        <v>14</v>
      </c>
      <c r="C74" s="170" t="e">
        <f>VLOOKUP($A74,'ANEXO XVII- MEMORIA DE CALCULO'!$A$1:$P8762,2,0)</f>
        <v>#N/A</v>
      </c>
      <c r="D74" s="171" t="s">
        <v>147</v>
      </c>
      <c r="E74" s="170" t="s">
        <v>112</v>
      </c>
      <c r="F74" s="150">
        <v>32.5</v>
      </c>
      <c r="G74" s="149">
        <v>23.1</v>
      </c>
      <c r="H74" s="149"/>
      <c r="I74" s="149">
        <f t="shared" si="14"/>
        <v>5.7750000000000004</v>
      </c>
      <c r="J74" s="149">
        <f t="shared" si="11"/>
        <v>28.88</v>
      </c>
      <c r="K74" s="176">
        <f t="shared" si="12"/>
        <v>938.6</v>
      </c>
      <c r="L74" s="127">
        <f t="shared" si="13"/>
        <v>1.1380461451531705E-3</v>
      </c>
      <c r="P74" s="185"/>
      <c r="R74" s="161"/>
    </row>
    <row r="75" spans="1:18" ht="25.5">
      <c r="A75" s="169" t="s">
        <v>311</v>
      </c>
      <c r="B75" s="145" t="s">
        <v>275</v>
      </c>
      <c r="C75" s="170" t="e">
        <f>VLOOKUP($A75,'ANEXO XVII- MEMORIA DE CALCULO'!$A$1:$P8763,2,0)</f>
        <v>#N/A</v>
      </c>
      <c r="D75" s="171" t="s">
        <v>312</v>
      </c>
      <c r="E75" s="170" t="s">
        <v>112</v>
      </c>
      <c r="F75" s="150">
        <v>114.23999999999998</v>
      </c>
      <c r="G75" s="149">
        <v>25.62</v>
      </c>
      <c r="H75" s="149"/>
      <c r="I75" s="149">
        <f t="shared" si="14"/>
        <v>6.4050000000000002</v>
      </c>
      <c r="J75" s="149">
        <f t="shared" si="11"/>
        <v>32.03</v>
      </c>
      <c r="K75" s="176">
        <f t="shared" si="12"/>
        <v>3659.11</v>
      </c>
      <c r="L75" s="127">
        <f t="shared" si="13"/>
        <v>4.4366461007792641E-3</v>
      </c>
      <c r="P75" s="185"/>
      <c r="R75" s="161"/>
    </row>
    <row r="76" spans="1:18" ht="25.5">
      <c r="A76" s="169" t="s">
        <v>313</v>
      </c>
      <c r="B76" s="145" t="s">
        <v>275</v>
      </c>
      <c r="C76" s="170" t="e">
        <f>VLOOKUP($A76,'ANEXO XVII- MEMORIA DE CALCULO'!$A$1:$P8764,2,0)</f>
        <v>#N/A</v>
      </c>
      <c r="D76" s="171" t="s">
        <v>314</v>
      </c>
      <c r="E76" s="170" t="s">
        <v>30</v>
      </c>
      <c r="F76" s="150">
        <v>2</v>
      </c>
      <c r="G76" s="149">
        <v>95.274479999999997</v>
      </c>
      <c r="H76" s="149"/>
      <c r="I76" s="149">
        <f t="shared" si="14"/>
        <v>23.818619999999999</v>
      </c>
      <c r="J76" s="149">
        <f t="shared" si="11"/>
        <v>119.09</v>
      </c>
      <c r="K76" s="176">
        <f t="shared" si="12"/>
        <v>238.18</v>
      </c>
      <c r="L76" s="127">
        <f t="shared" si="13"/>
        <v>2.8879163738821875E-4</v>
      </c>
      <c r="P76" s="185"/>
      <c r="R76" s="161"/>
    </row>
    <row r="77" spans="1:18">
      <c r="A77" s="186"/>
      <c r="B77" s="180"/>
      <c r="C77" s="187" t="e">
        <f>VLOOKUP($A77,'ANEXO XVII- MEMORIA DE CALCULO'!$A$1:$P8765,2,0)</f>
        <v>#N/A</v>
      </c>
      <c r="D77" s="188" t="s">
        <v>152</v>
      </c>
      <c r="E77" s="187">
        <v>0</v>
      </c>
      <c r="F77" s="189"/>
      <c r="G77" s="190"/>
      <c r="H77" s="190"/>
      <c r="I77" s="190"/>
      <c r="J77" s="149">
        <f t="shared" si="11"/>
        <v>0</v>
      </c>
      <c r="K77" s="176">
        <f t="shared" si="12"/>
        <v>0</v>
      </c>
      <c r="L77" s="127">
        <f t="shared" si="13"/>
        <v>0</v>
      </c>
      <c r="P77" s="185"/>
      <c r="R77" s="161"/>
    </row>
    <row r="78" spans="1:18" ht="36">
      <c r="A78" s="169" t="s">
        <v>315</v>
      </c>
      <c r="B78" s="145" t="s">
        <v>14</v>
      </c>
      <c r="C78" s="170" t="e">
        <f>VLOOKUP($A78,'ANEXO XVII- MEMORIA DE CALCULO'!$A$1:$P8766,2,0)</f>
        <v>#N/A</v>
      </c>
      <c r="D78" s="171" t="s">
        <v>154</v>
      </c>
      <c r="E78" s="170" t="s">
        <v>112</v>
      </c>
      <c r="F78" s="150">
        <v>36.800000000000004</v>
      </c>
      <c r="G78" s="149">
        <v>8.44</v>
      </c>
      <c r="H78" s="149"/>
      <c r="I78" s="149">
        <f>G78*$N$8</f>
        <v>2.11</v>
      </c>
      <c r="J78" s="149">
        <f t="shared" si="11"/>
        <v>10.55</v>
      </c>
      <c r="K78" s="176">
        <f t="shared" si="12"/>
        <v>388.24</v>
      </c>
      <c r="L78" s="127">
        <f t="shared" si="13"/>
        <v>4.7073837139811089E-4</v>
      </c>
      <c r="P78" s="185"/>
      <c r="R78" s="161"/>
    </row>
    <row r="79" spans="1:18" ht="36">
      <c r="A79" s="169" t="s">
        <v>316</v>
      </c>
      <c r="B79" s="145" t="s">
        <v>14</v>
      </c>
      <c r="C79" s="170" t="e">
        <f>VLOOKUP($A79,'ANEXO XVII- MEMORIA DE CALCULO'!$A$1:$P8767,2,0)</f>
        <v>#N/A</v>
      </c>
      <c r="D79" s="171" t="s">
        <v>156</v>
      </c>
      <c r="E79" s="170" t="s">
        <v>112</v>
      </c>
      <c r="F79" s="150">
        <v>540</v>
      </c>
      <c r="G79" s="149">
        <v>4</v>
      </c>
      <c r="H79" s="149"/>
      <c r="I79" s="149">
        <f>G79*$N$8</f>
        <v>1</v>
      </c>
      <c r="J79" s="149">
        <f t="shared" si="11"/>
        <v>5</v>
      </c>
      <c r="K79" s="176">
        <f t="shared" si="12"/>
        <v>2700</v>
      </c>
      <c r="L79" s="127">
        <f t="shared" si="13"/>
        <v>3.2737317194902623E-3</v>
      </c>
      <c r="P79" s="185"/>
      <c r="R79" s="161"/>
    </row>
    <row r="80" spans="1:18" ht="25.5">
      <c r="A80" s="169" t="s">
        <v>317</v>
      </c>
      <c r="B80" s="145" t="s">
        <v>14</v>
      </c>
      <c r="C80" s="170" t="e">
        <f>VLOOKUP($A80,'ANEXO XVII- MEMORIA DE CALCULO'!$A$1:$P8768,2,0)</f>
        <v>#N/A</v>
      </c>
      <c r="D80" s="171" t="s">
        <v>158</v>
      </c>
      <c r="E80" s="170" t="s">
        <v>30</v>
      </c>
      <c r="F80" s="150">
        <v>5</v>
      </c>
      <c r="G80" s="149">
        <v>41.76</v>
      </c>
      <c r="H80" s="149"/>
      <c r="I80" s="149">
        <f>G80*$N$8</f>
        <v>10.44</v>
      </c>
      <c r="J80" s="149">
        <f t="shared" si="11"/>
        <v>52.2</v>
      </c>
      <c r="K80" s="176">
        <f t="shared" si="12"/>
        <v>261</v>
      </c>
      <c r="L80" s="127">
        <f t="shared" si="13"/>
        <v>3.1646073288405869E-4</v>
      </c>
      <c r="P80" s="185"/>
      <c r="R80" s="161"/>
    </row>
    <row r="81" spans="1:18">
      <c r="A81" s="186"/>
      <c r="B81" s="180"/>
      <c r="C81" s="187" t="e">
        <f>VLOOKUP($A81,'ANEXO XVII- MEMORIA DE CALCULO'!$A$1:$P8769,2,0)</f>
        <v>#N/A</v>
      </c>
      <c r="D81" s="188" t="s">
        <v>318</v>
      </c>
      <c r="E81" s="170">
        <v>0</v>
      </c>
      <c r="F81" s="150">
        <v>0</v>
      </c>
      <c r="G81" s="149"/>
      <c r="H81" s="149"/>
      <c r="I81" s="149"/>
      <c r="J81" s="149">
        <f t="shared" si="11"/>
        <v>0</v>
      </c>
      <c r="K81" s="176">
        <f t="shared" si="12"/>
        <v>0</v>
      </c>
      <c r="L81" s="127">
        <f t="shared" si="13"/>
        <v>0</v>
      </c>
      <c r="P81" s="185"/>
      <c r="R81" s="161"/>
    </row>
    <row r="82" spans="1:18" ht="36">
      <c r="A82" s="169" t="s">
        <v>319</v>
      </c>
      <c r="B82" s="145" t="s">
        <v>275</v>
      </c>
      <c r="C82" s="170" t="e">
        <f>VLOOKUP($A82,'ANEXO XVII- MEMORIA DE CALCULO'!$A$1:$P8770,2,0)</f>
        <v>#N/A</v>
      </c>
      <c r="D82" s="171" t="s">
        <v>320</v>
      </c>
      <c r="E82" s="170" t="s">
        <v>30</v>
      </c>
      <c r="F82" s="150">
        <v>2</v>
      </c>
      <c r="G82" s="149">
        <v>544.46872499999995</v>
      </c>
      <c r="H82" s="149"/>
      <c r="I82" s="149">
        <f>G82*$N$8</f>
        <v>136.11718124999999</v>
      </c>
      <c r="J82" s="149">
        <f t="shared" si="11"/>
        <v>680.59</v>
      </c>
      <c r="K82" s="176">
        <f t="shared" si="12"/>
        <v>1361.18</v>
      </c>
      <c r="L82" s="127">
        <f t="shared" si="13"/>
        <v>1.6504215340502797E-3</v>
      </c>
      <c r="P82" s="185"/>
      <c r="R82" s="161"/>
    </row>
    <row r="83" spans="1:18" ht="25.5">
      <c r="A83" s="169" t="s">
        <v>321</v>
      </c>
      <c r="B83" s="145" t="s">
        <v>275</v>
      </c>
      <c r="C83" s="170" t="e">
        <f>VLOOKUP($A83,'ANEXO XVII- MEMORIA DE CALCULO'!$A$1:$P8771,2,0)</f>
        <v>#N/A</v>
      </c>
      <c r="D83" s="171" t="s">
        <v>322</v>
      </c>
      <c r="E83" s="170" t="s">
        <v>30</v>
      </c>
      <c r="F83" s="150">
        <v>2</v>
      </c>
      <c r="G83" s="149">
        <v>3896.9500000000007</v>
      </c>
      <c r="H83" s="149"/>
      <c r="I83" s="149">
        <f>G83*$N$8</f>
        <v>974.23750000000018</v>
      </c>
      <c r="J83" s="149">
        <f t="shared" si="11"/>
        <v>4871.1899999999996</v>
      </c>
      <c r="K83" s="176">
        <f t="shared" si="12"/>
        <v>9742.3799999999992</v>
      </c>
      <c r="L83" s="127">
        <f t="shared" si="13"/>
        <v>1.1812569788639829E-2</v>
      </c>
      <c r="P83" s="185"/>
      <c r="R83" s="161"/>
    </row>
    <row r="84" spans="1:18" ht="25.5">
      <c r="A84" s="169" t="s">
        <v>323</v>
      </c>
      <c r="B84" s="145" t="s">
        <v>275</v>
      </c>
      <c r="C84" s="170" t="e">
        <f>VLOOKUP($A84,'ANEXO XVII- MEMORIA DE CALCULO'!$A$1:$P8772,2,0)</f>
        <v>#N/A</v>
      </c>
      <c r="D84" s="171" t="s">
        <v>324</v>
      </c>
      <c r="E84" s="170" t="s">
        <v>30</v>
      </c>
      <c r="F84" s="150">
        <v>10</v>
      </c>
      <c r="G84" s="149">
        <v>4684.5833333333339</v>
      </c>
      <c r="H84" s="149"/>
      <c r="I84" s="149">
        <f>G84*$N$8</f>
        <v>1171.1458333333335</v>
      </c>
      <c r="J84" s="149">
        <f t="shared" si="11"/>
        <v>5855.73</v>
      </c>
      <c r="K84" s="176">
        <f t="shared" si="12"/>
        <v>58557.3</v>
      </c>
      <c r="L84" s="127">
        <f t="shared" si="13"/>
        <v>7.1000329784335972E-2</v>
      </c>
      <c r="P84" s="185"/>
      <c r="R84" s="161"/>
    </row>
    <row r="85" spans="1:18" ht="25.5">
      <c r="A85" s="169" t="s">
        <v>325</v>
      </c>
      <c r="B85" s="145" t="s">
        <v>275</v>
      </c>
      <c r="C85" s="170" t="e">
        <f>VLOOKUP($A85,'ANEXO XVII- MEMORIA DE CALCULO'!$A$1:$P8773,2,0)</f>
        <v>#N/A</v>
      </c>
      <c r="D85" s="171" t="s">
        <v>326</v>
      </c>
      <c r="E85" s="170" t="s">
        <v>30</v>
      </c>
      <c r="F85" s="150">
        <v>40</v>
      </c>
      <c r="G85" s="149">
        <v>888.96799999999996</v>
      </c>
      <c r="H85" s="149"/>
      <c r="I85" s="149">
        <f>G85*$N$8</f>
        <v>222.24199999999999</v>
      </c>
      <c r="J85" s="149">
        <f t="shared" si="11"/>
        <v>1111.21</v>
      </c>
      <c r="K85" s="176">
        <f t="shared" si="12"/>
        <v>44448.4</v>
      </c>
      <c r="L85" s="127">
        <f t="shared" si="13"/>
        <v>5.389338405947814E-2</v>
      </c>
      <c r="M85" s="159"/>
      <c r="P85" s="185"/>
      <c r="R85" s="161"/>
    </row>
    <row r="86" spans="1:18" ht="25.5">
      <c r="A86" s="169" t="s">
        <v>327</v>
      </c>
      <c r="B86" s="145" t="s">
        <v>14</v>
      </c>
      <c r="C86" s="170" t="e">
        <f>VLOOKUP($A86,'ANEXO XVII- MEMORIA DE CALCULO'!$A$1:$P8774,2,0)</f>
        <v>#N/A</v>
      </c>
      <c r="D86" s="171" t="s">
        <v>170</v>
      </c>
      <c r="E86" s="170" t="s">
        <v>30</v>
      </c>
      <c r="F86" s="150">
        <v>2</v>
      </c>
      <c r="G86" s="149">
        <v>45.61</v>
      </c>
      <c r="H86" s="149"/>
      <c r="I86" s="149">
        <f>G86*$N$8</f>
        <v>11.4025</v>
      </c>
      <c r="J86" s="149">
        <f t="shared" si="11"/>
        <v>57.01</v>
      </c>
      <c r="K86" s="176">
        <f t="shared" si="12"/>
        <v>114.02</v>
      </c>
      <c r="L86" s="127">
        <f t="shared" si="13"/>
        <v>1.3824847802084431E-4</v>
      </c>
      <c r="P86" s="185"/>
      <c r="R86" s="161"/>
    </row>
    <row r="87" spans="1:18">
      <c r="A87" s="151"/>
      <c r="B87" s="152"/>
      <c r="C87" s="153"/>
      <c r="D87" s="154"/>
      <c r="E87" s="153"/>
      <c r="F87" s="155"/>
      <c r="G87" s="156"/>
      <c r="H87" s="156"/>
      <c r="I87" s="156"/>
      <c r="J87" s="156"/>
      <c r="K87" s="157"/>
    </row>
    <row r="88" spans="1:18">
      <c r="A88" s="162" t="s">
        <v>328</v>
      </c>
      <c r="B88" s="141"/>
      <c r="C88" s="163"/>
      <c r="D88" s="142" t="s">
        <v>171</v>
      </c>
      <c r="E88" s="164"/>
      <c r="F88" s="165"/>
      <c r="G88" s="166">
        <v>67576.570000000007</v>
      </c>
      <c r="H88" s="166"/>
      <c r="I88" s="166"/>
      <c r="J88" s="166"/>
      <c r="K88" s="167"/>
      <c r="R88" s="168">
        <f>SUM(R89:R92)</f>
        <v>0</v>
      </c>
    </row>
    <row r="89" spans="1:18" ht="25.5">
      <c r="A89" s="169" t="s">
        <v>172</v>
      </c>
      <c r="B89" s="145" t="s">
        <v>14</v>
      </c>
      <c r="C89" s="170">
        <f>VLOOKUP($A89,'ANEXO XVII- MEMORIA DE CALCULO'!$A$1:$P8760,2,0)</f>
        <v>85180</v>
      </c>
      <c r="D89" s="171" t="s">
        <v>173</v>
      </c>
      <c r="E89" s="170" t="s">
        <v>17</v>
      </c>
      <c r="F89" s="150">
        <v>405.09</v>
      </c>
      <c r="G89" s="149">
        <v>13.44</v>
      </c>
      <c r="H89" s="149"/>
      <c r="I89" s="149">
        <f>G89*$N$8</f>
        <v>3.36</v>
      </c>
      <c r="J89" s="149">
        <f>ROUND((SUM(G89:I89)),2)</f>
        <v>16.8</v>
      </c>
      <c r="K89" s="176">
        <f>ROUND(F89*J89,2)</f>
        <v>6805.51</v>
      </c>
      <c r="L89" s="127">
        <f>K89/$K$97</f>
        <v>8.2516347978919165E-3</v>
      </c>
      <c r="P89" s="185"/>
      <c r="R89" s="161"/>
    </row>
    <row r="90" spans="1:18" ht="25.5">
      <c r="A90" s="169" t="s">
        <v>174</v>
      </c>
      <c r="B90" s="145" t="s">
        <v>14</v>
      </c>
      <c r="C90" s="170" t="str">
        <f>VLOOKUP($A90,'ANEXO XVII- MEMORIA DE CALCULO'!$A$1:$P8762,2,0)</f>
        <v>73967/002</v>
      </c>
      <c r="D90" s="171" t="s">
        <v>176</v>
      </c>
      <c r="E90" s="170" t="s">
        <v>30</v>
      </c>
      <c r="F90" s="150">
        <v>3</v>
      </c>
      <c r="G90" s="149">
        <v>141.6</v>
      </c>
      <c r="H90" s="149"/>
      <c r="I90" s="149">
        <f>G90*$N$8</f>
        <v>35.4</v>
      </c>
      <c r="J90" s="149">
        <f>ROUND((SUM(G90:I90)),2)</f>
        <v>177</v>
      </c>
      <c r="K90" s="176">
        <f>ROUND(F90*J90,2)</f>
        <v>531</v>
      </c>
      <c r="L90" s="127">
        <f>K90/$K$97</f>
        <v>6.4383390483308488E-4</v>
      </c>
      <c r="P90" s="177"/>
      <c r="R90" s="149"/>
    </row>
    <row r="91" spans="1:18" ht="25.5">
      <c r="A91" s="169" t="s">
        <v>177</v>
      </c>
      <c r="B91" s="145" t="s">
        <v>14</v>
      </c>
      <c r="C91" s="170">
        <f>VLOOKUP($A91,'ANEXO XVII- MEMORIA DE CALCULO'!$A$1:$P8763,2,0)</f>
        <v>85178</v>
      </c>
      <c r="D91" s="171" t="s">
        <v>178</v>
      </c>
      <c r="E91" s="170" t="s">
        <v>30</v>
      </c>
      <c r="F91" s="150">
        <v>262</v>
      </c>
      <c r="G91" s="149">
        <v>71.78</v>
      </c>
      <c r="H91" s="149"/>
      <c r="I91" s="149">
        <f>G91*$N$8</f>
        <v>17.945</v>
      </c>
      <c r="J91" s="149">
        <f>ROUND((SUM(G91:I91)),2)</f>
        <v>89.73</v>
      </c>
      <c r="K91" s="176">
        <f>ROUND(F91*J91,2)</f>
        <v>23509.26</v>
      </c>
      <c r="L91" s="127">
        <f>K91/$K$97</f>
        <v>2.8504818579164308E-2</v>
      </c>
      <c r="P91" s="177"/>
      <c r="R91" s="149"/>
    </row>
    <row r="92" spans="1:18" ht="25.5">
      <c r="A92" s="169" t="s">
        <v>179</v>
      </c>
      <c r="B92" s="145" t="s">
        <v>275</v>
      </c>
      <c r="C92" s="170" t="str">
        <f>VLOOKUP($A92,'ANEXO XVII- MEMORIA DE CALCULO'!$A$1:$P8764,2,0)</f>
        <v>CPU 10.001</v>
      </c>
      <c r="D92" s="171" t="s">
        <v>329</v>
      </c>
      <c r="E92" s="170" t="s">
        <v>17</v>
      </c>
      <c r="F92" s="150">
        <v>36.620000000000005</v>
      </c>
      <c r="G92" s="149">
        <v>793.2</v>
      </c>
      <c r="H92" s="149"/>
      <c r="I92" s="149">
        <f>G92*$N$8</f>
        <v>198.3</v>
      </c>
      <c r="J92" s="149">
        <f>ROUND((SUM(G92:I92)),2)</f>
        <v>991.5</v>
      </c>
      <c r="K92" s="176">
        <f>ROUND(F92*J92,2)</f>
        <v>36308.730000000003</v>
      </c>
      <c r="L92" s="127">
        <f>K92/$K$97</f>
        <v>4.4024089294595434E-2</v>
      </c>
      <c r="P92" s="177"/>
      <c r="R92" s="149"/>
    </row>
    <row r="93" spans="1:18" s="192" customFormat="1" ht="25.5">
      <c r="A93" s="169" t="s">
        <v>180</v>
      </c>
      <c r="B93" s="145" t="s">
        <v>14</v>
      </c>
      <c r="C93" s="170">
        <f>VLOOKUP($A93,'ANEXO XVII- MEMORIA DE CALCULO'!$A$1:$P8765,2,0)</f>
        <v>9537</v>
      </c>
      <c r="D93" s="171" t="s">
        <v>181</v>
      </c>
      <c r="E93" s="170" t="s">
        <v>17</v>
      </c>
      <c r="F93" s="150">
        <v>191.85</v>
      </c>
      <c r="G93" s="149">
        <v>1.76</v>
      </c>
      <c r="H93" s="149"/>
      <c r="I93" s="149">
        <f>G93*$N$8</f>
        <v>0.44</v>
      </c>
      <c r="J93" s="149">
        <f>ROUND((SUM(G93:I93)),2)</f>
        <v>2.2000000000000002</v>
      </c>
      <c r="K93" s="176">
        <f>ROUND(F93*J93,2)</f>
        <v>422.07</v>
      </c>
      <c r="L93" s="127">
        <f>K93/$K$97</f>
        <v>5.117570173500944E-4</v>
      </c>
    </row>
    <row r="94" spans="1:18">
      <c r="A94" s="151"/>
      <c r="B94" s="152"/>
      <c r="C94" s="153"/>
      <c r="D94" s="154"/>
      <c r="E94" s="153"/>
      <c r="F94" s="155"/>
      <c r="G94" s="156"/>
      <c r="H94" s="156"/>
      <c r="I94" s="156"/>
      <c r="J94" s="156"/>
      <c r="K94" s="157"/>
    </row>
    <row r="95" spans="1:18">
      <c r="A95" s="193"/>
      <c r="B95" s="194"/>
      <c r="C95" s="195"/>
      <c r="D95" s="196"/>
      <c r="E95" s="197"/>
      <c r="F95" s="198"/>
      <c r="G95" s="197" t="s">
        <v>330</v>
      </c>
      <c r="H95" s="195"/>
      <c r="I95" s="195"/>
      <c r="J95" s="195"/>
      <c r="K95" s="199">
        <f>SUM(K10:K94)</f>
        <v>824746.87340000016</v>
      </c>
      <c r="R95" s="200" t="e">
        <f>SUM(R9:R92)/2</f>
        <v>#REF!</v>
      </c>
    </row>
    <row r="96" spans="1:18">
      <c r="A96" s="193"/>
      <c r="B96" s="194"/>
      <c r="C96" s="195"/>
      <c r="D96" s="196"/>
      <c r="E96" s="197"/>
      <c r="F96" s="198"/>
      <c r="G96" s="197"/>
      <c r="H96" s="195"/>
      <c r="I96" s="195"/>
      <c r="J96" s="195"/>
      <c r="K96" s="199"/>
      <c r="R96" s="200"/>
    </row>
    <row r="97" spans="1:13">
      <c r="A97" s="193"/>
      <c r="B97" s="194"/>
      <c r="C97" s="195"/>
      <c r="D97" s="201"/>
      <c r="E97" s="198"/>
      <c r="F97" s="198"/>
      <c r="G97" s="202" t="s">
        <v>331</v>
      </c>
      <c r="H97" s="195"/>
      <c r="I97" s="195"/>
      <c r="J97" s="195"/>
      <c r="K97" s="203">
        <f>SUM(K95:K95)</f>
        <v>824746.87340000016</v>
      </c>
      <c r="L97" s="127">
        <f>SUM(L9:L96)</f>
        <v>1</v>
      </c>
    </row>
    <row r="98" spans="1:13">
      <c r="A98" s="193"/>
      <c r="B98" s="194"/>
      <c r="C98" s="195"/>
      <c r="D98" s="204" t="s">
        <v>332</v>
      </c>
      <c r="E98" s="198"/>
      <c r="F98" s="198"/>
      <c r="G98" s="205"/>
      <c r="H98" s="195"/>
      <c r="I98" s="195"/>
      <c r="J98" s="195"/>
      <c r="K98" s="203"/>
    </row>
    <row r="99" spans="1:13">
      <c r="A99" s="193"/>
      <c r="B99" s="194"/>
      <c r="C99" s="195"/>
      <c r="D99" s="206" t="s">
        <v>333</v>
      </c>
      <c r="E99" s="198"/>
      <c r="F99" s="198"/>
      <c r="G99" s="205"/>
      <c r="H99" s="195"/>
      <c r="I99" s="195"/>
      <c r="J99" s="195"/>
      <c r="K99" s="203"/>
    </row>
    <row r="100" spans="1:13">
      <c r="A100" s="207"/>
      <c r="B100" s="208"/>
      <c r="C100" s="208"/>
      <c r="D100" s="209"/>
      <c r="E100" s="210"/>
      <c r="F100" s="211"/>
      <c r="G100" s="212"/>
      <c r="H100" s="212"/>
      <c r="I100" s="212"/>
      <c r="J100" s="212"/>
      <c r="K100" s="213"/>
      <c r="M100" s="200"/>
    </row>
    <row r="101" spans="1:13">
      <c r="K101" s="214"/>
    </row>
    <row r="102" spans="1:13">
      <c r="K102" s="200"/>
    </row>
    <row r="103" spans="1:13">
      <c r="I103" s="776" t="str">
        <f>RESUMO!C26</f>
        <v xml:space="preserve"> Moreno, março de 2016</v>
      </c>
      <c r="J103" s="776"/>
      <c r="K103" s="776"/>
    </row>
    <row r="111" spans="1:13">
      <c r="A111" s="777" t="str">
        <f>RESUMO!A33</f>
        <v>Gusmão Planejamento e Obras Ltda</v>
      </c>
      <c r="B111" s="777"/>
      <c r="C111" s="777"/>
      <c r="D111" s="777"/>
      <c r="E111" s="777"/>
      <c r="F111" s="777"/>
      <c r="G111" s="777"/>
      <c r="H111" s="777"/>
      <c r="I111" s="777"/>
      <c r="J111" s="777"/>
      <c r="K111" s="777"/>
    </row>
    <row r="112" spans="1:13">
      <c r="A112" s="774" t="str">
        <f>RESUMO!A34</f>
        <v>Antônio Nunes da Silva Filho</v>
      </c>
      <c r="B112" s="774"/>
      <c r="C112" s="774"/>
      <c r="D112" s="774"/>
      <c r="E112" s="774"/>
      <c r="F112" s="774"/>
      <c r="G112" s="774"/>
      <c r="H112" s="774"/>
      <c r="I112" s="774"/>
      <c r="J112" s="774"/>
      <c r="K112" s="774"/>
    </row>
    <row r="113" spans="1:11">
      <c r="A113" s="774" t="str">
        <f>RESUMO!A35</f>
        <v>Eng. Civil - CREA 16.122 - D/PE</v>
      </c>
      <c r="B113" s="774"/>
      <c r="C113" s="774"/>
      <c r="D113" s="774"/>
      <c r="E113" s="774"/>
      <c r="F113" s="774"/>
      <c r="G113" s="774"/>
      <c r="H113" s="774"/>
      <c r="I113" s="774"/>
      <c r="J113" s="774"/>
      <c r="K113" s="774"/>
    </row>
  </sheetData>
  <sheetProtection selectLockedCells="1" selectUnlockedCells="1"/>
  <mergeCells count="17">
    <mergeCell ref="A113:K113"/>
    <mergeCell ref="F7:F8"/>
    <mergeCell ref="G7:J7"/>
    <mergeCell ref="K7:K8"/>
    <mergeCell ref="I103:K103"/>
    <mergeCell ref="A111:K111"/>
    <mergeCell ref="A112:K112"/>
    <mergeCell ref="A2:K2"/>
    <mergeCell ref="B4:D4"/>
    <mergeCell ref="E4:F4"/>
    <mergeCell ref="E5:F5"/>
    <mergeCell ref="F6:K6"/>
    <mergeCell ref="A7:A8"/>
    <mergeCell ref="B7:B8"/>
    <mergeCell ref="C7:C8"/>
    <mergeCell ref="D7:D8"/>
    <mergeCell ref="E7:E8"/>
  </mergeCells>
  <conditionalFormatting sqref="L1:L1048576">
    <cfRule type="expression" dxfId="0" priority="1" stopIfTrue="1">
      <formula>LARGE(($L:$L),MIN(10,COUNT($L:$L)))&lt;=L1</formula>
    </cfRule>
  </conditionalFormatting>
  <pageMargins left="0.51180555555555551" right="0.51180555555555551" top="0.78749999999999998" bottom="0.78749999999999998" header="0.51180555555555551" footer="0.31527777777777777"/>
  <pageSetup paperSize="9" scale="53" firstPageNumber="0" orientation="landscape" horizontalDpi="300" verticalDpi="300" r:id="rId1"/>
  <headerFooter alignWithMargins="0">
    <oddFooter>&amp;L&amp;A&amp;CPágina &amp;P de &amp;N&amp;R&amp;"-,Negrito"&amp;9 07+000Antônio Nunes da Silva Filho
Eng. Civil - CREA 16.122 - D/PE</oddFooter>
  </headerFooter>
  <rowBreaks count="3" manualBreakCount="3">
    <brk id="30" max="16383" man="1"/>
    <brk id="58" max="16383" man="1"/>
    <brk id="8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6"/>
  <sheetViews>
    <sheetView view="pageBreakPreview" zoomScale="85" zoomScaleNormal="85" zoomScaleSheetLayoutView="85" workbookViewId="0"/>
  </sheetViews>
  <sheetFormatPr defaultColWidth="9" defaultRowHeight="15"/>
  <cols>
    <col min="1" max="1" width="11" style="215" customWidth="1"/>
    <col min="2" max="2" width="15" style="215" customWidth="1"/>
    <col min="3" max="3" width="49.7109375" style="192" customWidth="1"/>
    <col min="4" max="4" width="8.28515625" style="192" customWidth="1"/>
    <col min="5" max="5" width="16.140625" style="216" customWidth="1"/>
    <col min="6" max="6" width="15.5703125" style="216" customWidth="1"/>
    <col min="7" max="7" width="11.140625" style="216" customWidth="1"/>
    <col min="8" max="8" width="10.5703125" style="192" customWidth="1"/>
    <col min="9" max="9" width="16.28515625" style="216" customWidth="1"/>
    <col min="10" max="10" width="2.5703125" style="217" customWidth="1"/>
    <col min="11" max="11" width="17.28515625" style="192" customWidth="1"/>
    <col min="12" max="12" width="19.7109375" style="192" customWidth="1"/>
    <col min="13" max="14" width="19.7109375" style="113" customWidth="1"/>
    <col min="15" max="15" width="15.28515625" style="113" customWidth="1"/>
    <col min="16" max="16" width="15.85546875" style="113" customWidth="1"/>
    <col min="17" max="21" width="9" customWidth="1"/>
    <col min="22" max="22" width="10.5703125" customWidth="1"/>
  </cols>
  <sheetData>
    <row r="1" spans="1:22">
      <c r="A1" s="778" t="s">
        <v>334</v>
      </c>
      <c r="B1" s="778"/>
      <c r="C1" s="778"/>
      <c r="D1" s="778"/>
      <c r="E1" s="778"/>
      <c r="F1" s="778"/>
      <c r="G1" s="778"/>
      <c r="H1" s="778"/>
      <c r="I1" s="778"/>
      <c r="J1" s="98"/>
      <c r="K1" s="779" t="s">
        <v>335</v>
      </c>
      <c r="L1" s="779"/>
      <c r="M1" s="779"/>
      <c r="N1" s="779"/>
      <c r="O1" s="779"/>
      <c r="P1" s="779"/>
    </row>
    <row r="2" spans="1:22">
      <c r="A2" s="219"/>
      <c r="B2" s="219"/>
      <c r="C2" s="219"/>
      <c r="D2" s="219"/>
      <c r="E2" s="219"/>
      <c r="F2" s="219"/>
      <c r="G2" s="219"/>
      <c r="H2" s="219"/>
      <c r="I2" s="219"/>
      <c r="J2" s="98"/>
      <c r="K2" s="218"/>
      <c r="L2" s="218"/>
      <c r="M2" s="218"/>
      <c r="N2" s="218"/>
      <c r="O2" s="218"/>
      <c r="P2" s="218"/>
    </row>
    <row r="3" spans="1:22" ht="15" customHeight="1">
      <c r="A3" s="220" t="s">
        <v>242</v>
      </c>
      <c r="B3" s="780" t="str">
        <f>RESUMO!B7</f>
        <v>Construção dos pórticos de acesso a cidade de Moreno</v>
      </c>
      <c r="C3" s="780"/>
      <c r="D3" s="780"/>
      <c r="E3" s="780"/>
      <c r="F3" s="221" t="s">
        <v>260</v>
      </c>
      <c r="G3" s="222" t="str">
        <f>RESUMO!E7</f>
        <v>Moreno/PE</v>
      </c>
      <c r="H3" s="131"/>
      <c r="I3" s="223"/>
      <c r="J3" s="98"/>
      <c r="K3" s="131"/>
      <c r="L3" s="131"/>
      <c r="M3" s="131"/>
      <c r="N3" s="131"/>
      <c r="O3" s="131"/>
      <c r="P3" s="131"/>
    </row>
    <row r="4" spans="1:22">
      <c r="A4" s="220" t="s">
        <v>246</v>
      </c>
      <c r="B4" s="224" t="str">
        <f>RESUMO!B8</f>
        <v>Moreno - PE</v>
      </c>
      <c r="C4" s="225"/>
      <c r="D4" s="225"/>
      <c r="E4" s="226"/>
      <c r="F4" s="227" t="s">
        <v>248</v>
      </c>
      <c r="G4" s="228">
        <f ca="1">RESUMO!E8</f>
        <v>45054</v>
      </c>
      <c r="H4" s="131"/>
      <c r="I4" s="223"/>
      <c r="J4" s="98"/>
      <c r="K4" s="131"/>
      <c r="L4" s="131"/>
      <c r="M4" s="131"/>
      <c r="N4" s="131"/>
      <c r="O4" s="131"/>
      <c r="P4" s="229"/>
    </row>
    <row r="5" spans="1:22">
      <c r="A5" s="230"/>
      <c r="B5" s="230"/>
      <c r="C5" s="131"/>
      <c r="D5" s="131"/>
      <c r="E5" s="222"/>
      <c r="F5" s="231"/>
      <c r="G5" s="222"/>
      <c r="H5" s="131"/>
      <c r="I5" s="223"/>
      <c r="J5" s="98"/>
      <c r="K5" s="131"/>
      <c r="L5" s="131"/>
      <c r="M5" s="131"/>
      <c r="N5" s="131"/>
      <c r="O5" s="131"/>
      <c r="P5" s="229"/>
    </row>
    <row r="6" spans="1:22" ht="17.25" customHeight="1">
      <c r="A6" s="232" t="s">
        <v>0</v>
      </c>
      <c r="B6" s="233" t="s">
        <v>2</v>
      </c>
      <c r="C6" s="234" t="s">
        <v>3</v>
      </c>
      <c r="D6" s="234" t="s">
        <v>194</v>
      </c>
      <c r="E6" s="235" t="s">
        <v>336</v>
      </c>
      <c r="F6" s="235" t="s">
        <v>337</v>
      </c>
      <c r="G6" s="235" t="s">
        <v>338</v>
      </c>
      <c r="H6" s="234" t="s">
        <v>339</v>
      </c>
      <c r="I6" s="236" t="s">
        <v>253</v>
      </c>
      <c r="J6" s="237"/>
      <c r="K6" s="238" t="s">
        <v>340</v>
      </c>
      <c r="L6" s="238" t="s">
        <v>341</v>
      </c>
      <c r="M6" s="238" t="s">
        <v>342</v>
      </c>
      <c r="N6" s="238" t="s">
        <v>343</v>
      </c>
      <c r="O6" s="238" t="s">
        <v>344</v>
      </c>
      <c r="P6" s="238" t="s">
        <v>253</v>
      </c>
    </row>
    <row r="7" spans="1:22">
      <c r="A7" s="239" t="s">
        <v>6</v>
      </c>
      <c r="B7" s="239"/>
      <c r="C7" s="240" t="s">
        <v>274</v>
      </c>
      <c r="D7" s="241"/>
      <c r="E7" s="242"/>
      <c r="F7" s="242"/>
      <c r="G7" s="242"/>
      <c r="H7" s="243"/>
      <c r="I7" s="242"/>
      <c r="J7" s="244"/>
      <c r="K7" s="245"/>
      <c r="L7" s="245"/>
      <c r="M7" s="245"/>
      <c r="N7" s="245"/>
      <c r="O7" s="245"/>
      <c r="P7" s="246"/>
      <c r="Q7" s="247"/>
      <c r="R7" s="247"/>
      <c r="S7" s="247"/>
      <c r="T7" s="247"/>
      <c r="U7" s="247"/>
      <c r="V7" s="247"/>
    </row>
    <row r="8" spans="1:22">
      <c r="A8" s="248"/>
      <c r="B8" s="248"/>
      <c r="C8" s="249"/>
      <c r="D8" s="39"/>
      <c r="E8" s="250"/>
      <c r="F8" s="250"/>
      <c r="G8" s="250"/>
      <c r="H8" s="251"/>
      <c r="I8" s="250"/>
      <c r="J8" s="244"/>
      <c r="K8" s="245"/>
      <c r="L8" s="245"/>
      <c r="M8" s="245"/>
      <c r="N8" s="245"/>
      <c r="O8" s="245"/>
      <c r="P8" s="246"/>
      <c r="Q8" s="247"/>
      <c r="R8" s="247"/>
      <c r="S8" s="247"/>
      <c r="T8" s="247"/>
      <c r="U8" s="247"/>
      <c r="V8" s="247"/>
    </row>
    <row r="9" spans="1:22">
      <c r="A9" s="252" t="s">
        <v>8</v>
      </c>
      <c r="B9" s="37" t="s">
        <v>10</v>
      </c>
      <c r="C9" s="38" t="str">
        <f>VLOOKUP($B9,SINAPI!$C$1:J5910,2,0)</f>
        <v xml:space="preserve">ADMINISTRAÇÃO LOCAL DA OBRA </v>
      </c>
      <c r="D9" s="39" t="str">
        <f>VLOOKUP($B9,SINAPI!$C$1:K5910,3,0)</f>
        <v>MÊS</v>
      </c>
      <c r="E9" s="250"/>
      <c r="F9" s="250"/>
      <c r="G9" s="250"/>
      <c r="H9" s="251"/>
      <c r="I9" s="250">
        <f>I12</f>
        <v>4</v>
      </c>
      <c r="J9" s="244"/>
      <c r="K9" s="245">
        <f>VLOOKUP($B9,SINAPI!$C$1:R5910,4,0)</f>
        <v>12543.207884057971</v>
      </c>
      <c r="L9" s="245"/>
      <c r="M9" s="245"/>
      <c r="N9" s="245"/>
      <c r="O9" s="245"/>
      <c r="P9" s="246">
        <f>SUM(K9:O9)</f>
        <v>12543.207884057971</v>
      </c>
      <c r="Q9" s="247"/>
      <c r="R9" s="247"/>
      <c r="S9" s="247"/>
      <c r="T9" s="247"/>
      <c r="U9" s="247"/>
      <c r="V9" s="247"/>
    </row>
    <row r="10" spans="1:22">
      <c r="A10" s="252"/>
      <c r="B10" s="39"/>
      <c r="C10" s="253"/>
      <c r="D10" s="254"/>
      <c r="E10" s="255"/>
      <c r="F10" s="255"/>
      <c r="G10" s="255"/>
      <c r="H10" s="256"/>
      <c r="I10" s="257">
        <f>PRODUCT(E10:H10)</f>
        <v>0</v>
      </c>
      <c r="J10" s="244"/>
      <c r="K10" s="258"/>
      <c r="L10" s="258"/>
      <c r="M10" s="258"/>
      <c r="N10" s="258"/>
      <c r="O10" s="258"/>
      <c r="P10" s="259"/>
      <c r="Q10" s="247"/>
      <c r="R10" s="247"/>
      <c r="S10" s="247"/>
      <c r="T10" s="247"/>
      <c r="U10" s="247"/>
      <c r="V10" s="247"/>
    </row>
    <row r="11" spans="1:22">
      <c r="A11" s="252"/>
      <c r="B11" s="39"/>
      <c r="C11" s="260" t="s">
        <v>345</v>
      </c>
      <c r="D11" s="254"/>
      <c r="E11" s="255"/>
      <c r="F11" s="255"/>
      <c r="G11" s="255"/>
      <c r="H11" s="261">
        <v>4</v>
      </c>
      <c r="I11" s="262">
        <f>PRODUCT(E11:H11)</f>
        <v>4</v>
      </c>
      <c r="J11" s="244"/>
      <c r="K11" s="258"/>
      <c r="L11" s="258"/>
      <c r="M11" s="258"/>
      <c r="N11" s="258"/>
      <c r="O11" s="258"/>
      <c r="P11" s="259"/>
      <c r="Q11" s="247"/>
      <c r="R11" s="247"/>
      <c r="S11" s="247"/>
      <c r="T11" s="247"/>
      <c r="U11" s="247"/>
      <c r="V11" s="247"/>
    </row>
    <row r="12" spans="1:22">
      <c r="A12" s="252"/>
      <c r="B12" s="39"/>
      <c r="C12" s="253"/>
      <c r="D12" s="254"/>
      <c r="E12" s="255"/>
      <c r="F12" s="255"/>
      <c r="G12" s="255"/>
      <c r="H12" s="263" t="s">
        <v>253</v>
      </c>
      <c r="I12" s="264">
        <f>SUM(I11)</f>
        <v>4</v>
      </c>
      <c r="J12" s="244"/>
      <c r="K12" s="258"/>
      <c r="L12" s="258"/>
      <c r="M12" s="258"/>
      <c r="N12" s="258"/>
      <c r="O12" s="258"/>
      <c r="P12" s="259"/>
      <c r="Q12" s="247"/>
      <c r="R12" s="247"/>
      <c r="S12" s="247"/>
      <c r="T12" s="247"/>
      <c r="U12" s="247"/>
      <c r="V12" s="247"/>
    </row>
    <row r="13" spans="1:22">
      <c r="A13" s="248"/>
      <c r="B13" s="248"/>
      <c r="C13" s="249"/>
      <c r="D13" s="39"/>
      <c r="E13" s="250"/>
      <c r="F13" s="250"/>
      <c r="G13" s="250"/>
      <c r="H13" s="251"/>
      <c r="I13" s="250"/>
      <c r="J13" s="244"/>
      <c r="K13" s="245"/>
      <c r="L13" s="245"/>
      <c r="M13" s="245"/>
      <c r="N13" s="245"/>
      <c r="O13" s="245"/>
      <c r="P13" s="246"/>
      <c r="Q13" s="247"/>
      <c r="R13" s="247"/>
      <c r="S13" s="247"/>
      <c r="T13" s="247"/>
      <c r="U13" s="247"/>
      <c r="V13" s="247"/>
    </row>
    <row r="14" spans="1:22">
      <c r="A14" s="265"/>
      <c r="B14" s="265"/>
      <c r="C14" s="266"/>
      <c r="D14" s="267"/>
      <c r="E14" s="268"/>
      <c r="F14" s="268"/>
      <c r="G14" s="268"/>
      <c r="H14" s="261"/>
      <c r="I14" s="268"/>
      <c r="J14" s="244"/>
      <c r="K14" s="245"/>
      <c r="L14" s="245"/>
      <c r="M14" s="245"/>
      <c r="N14" s="245"/>
      <c r="O14" s="245"/>
      <c r="P14" s="246"/>
      <c r="Q14" s="247"/>
      <c r="R14" s="247"/>
      <c r="S14" s="247"/>
      <c r="T14" s="247"/>
      <c r="U14" s="247"/>
      <c r="V14" s="247"/>
    </row>
    <row r="15" spans="1:22">
      <c r="A15" s="269" t="s">
        <v>11</v>
      </c>
      <c r="B15" s="269"/>
      <c r="C15" s="270" t="s">
        <v>12</v>
      </c>
      <c r="D15" s="271"/>
      <c r="E15" s="272"/>
      <c r="F15" s="272"/>
      <c r="G15" s="272"/>
      <c r="H15" s="273"/>
      <c r="I15" s="272"/>
      <c r="J15" s="244"/>
      <c r="K15" s="245"/>
      <c r="L15" s="245"/>
      <c r="M15" s="245"/>
      <c r="N15" s="245"/>
      <c r="O15" s="245"/>
      <c r="P15" s="246"/>
      <c r="Q15" s="247"/>
      <c r="R15" s="247"/>
      <c r="S15" s="247"/>
      <c r="T15" s="247"/>
      <c r="U15" s="247"/>
      <c r="V15" s="247"/>
    </row>
    <row r="16" spans="1:22" s="278" customFormat="1" ht="43.5" customHeight="1">
      <c r="A16" s="252" t="s">
        <v>13</v>
      </c>
      <c r="B16" s="37" t="s">
        <v>22</v>
      </c>
      <c r="C16" s="38" t="str">
        <f>VLOOKUP($B16,SINAPI!$C$6:J5891,2,0)</f>
        <v>BARRACAO PARA DEPOSITO EM TABUAS DE MADEIRA, COBERTURA EM FIBROCIMENTO 4 MM, INCLUSO PISO ARGAMASSA TRAÇO 1:6 (CIMENTO E AREIA)</v>
      </c>
      <c r="D16" s="39" t="str">
        <f>VLOOKUP($B16,SINAPI!$C$6:K5891,3,0)</f>
        <v>M2</v>
      </c>
      <c r="E16" s="250"/>
      <c r="F16" s="250"/>
      <c r="G16" s="250"/>
      <c r="H16" s="251"/>
      <c r="I16" s="274">
        <f>I20</f>
        <v>12</v>
      </c>
      <c r="J16" s="244"/>
      <c r="K16" s="245">
        <f>VLOOKUP($B16,SINAPI!$C$6:R5891,4,0)</f>
        <v>280.85000000000002</v>
      </c>
      <c r="L16" s="245"/>
      <c r="M16" s="275"/>
      <c r="N16" s="275"/>
      <c r="O16" s="275"/>
      <c r="P16" s="276">
        <f>SUM(K16:O16)</f>
        <v>280.85000000000002</v>
      </c>
      <c r="Q16" s="277"/>
      <c r="R16" s="277"/>
      <c r="S16" s="277"/>
      <c r="T16" s="277"/>
      <c r="U16" s="277"/>
      <c r="V16" s="277"/>
    </row>
    <row r="17" spans="1:22" s="278" customFormat="1">
      <c r="A17" s="252"/>
      <c r="B17" s="252"/>
      <c r="C17" s="279"/>
      <c r="D17" s="37"/>
      <c r="E17" s="280"/>
      <c r="F17" s="280"/>
      <c r="G17" s="280"/>
      <c r="H17" s="281"/>
      <c r="I17" s="257"/>
      <c r="J17" s="244"/>
      <c r="K17" s="282"/>
      <c r="L17" s="282"/>
      <c r="M17" s="283"/>
      <c r="N17" s="283"/>
      <c r="O17" s="283"/>
      <c r="P17" s="283"/>
      <c r="Q17" s="277"/>
      <c r="R17" s="277"/>
      <c r="S17" s="277"/>
      <c r="T17" s="277"/>
      <c r="U17" s="277"/>
      <c r="V17" s="277"/>
    </row>
    <row r="18" spans="1:22" s="278" customFormat="1">
      <c r="A18" s="252"/>
      <c r="B18" s="252"/>
      <c r="C18" s="279" t="s">
        <v>346</v>
      </c>
      <c r="D18" s="37"/>
      <c r="E18" s="284">
        <v>4</v>
      </c>
      <c r="F18" s="284">
        <f>3</f>
        <v>3</v>
      </c>
      <c r="G18" s="280"/>
      <c r="H18" s="281"/>
      <c r="I18" s="257">
        <f>PRODUCT(E18:H18)</f>
        <v>12</v>
      </c>
      <c r="J18" s="244"/>
      <c r="K18" s="282"/>
      <c r="L18" s="282"/>
      <c r="M18" s="283"/>
      <c r="N18" s="283"/>
      <c r="O18" s="283"/>
      <c r="P18" s="283"/>
      <c r="Q18" s="277"/>
      <c r="R18" s="277"/>
      <c r="S18" s="277"/>
      <c r="T18" s="277"/>
      <c r="U18" s="277"/>
      <c r="V18" s="277"/>
    </row>
    <row r="19" spans="1:22" s="278" customFormat="1">
      <c r="A19" s="252"/>
      <c r="B19" s="252"/>
      <c r="C19" s="279"/>
      <c r="D19" s="37"/>
      <c r="E19" s="280"/>
      <c r="F19" s="280"/>
      <c r="G19" s="280"/>
      <c r="H19" s="281"/>
      <c r="I19" s="257">
        <f>PRODUCT(E19:H19)</f>
        <v>0</v>
      </c>
      <c r="J19" s="244"/>
      <c r="K19" s="282"/>
      <c r="L19" s="282"/>
      <c r="M19" s="283"/>
      <c r="N19" s="283"/>
      <c r="O19" s="283"/>
      <c r="P19" s="283"/>
      <c r="Q19" s="277"/>
      <c r="R19" s="277"/>
      <c r="S19" s="277"/>
      <c r="T19" s="277"/>
      <c r="U19" s="277"/>
      <c r="V19" s="277"/>
    </row>
    <row r="20" spans="1:22" s="278" customFormat="1">
      <c r="A20" s="252"/>
      <c r="B20" s="252"/>
      <c r="C20" s="285"/>
      <c r="D20" s="37"/>
      <c r="E20" s="280"/>
      <c r="F20" s="280"/>
      <c r="G20" s="280"/>
      <c r="H20" s="263" t="s">
        <v>253</v>
      </c>
      <c r="I20" s="264">
        <f>SUM(I18:I19)</f>
        <v>12</v>
      </c>
      <c r="J20" s="244"/>
      <c r="K20" s="282"/>
      <c r="L20" s="282"/>
      <c r="M20" s="283"/>
      <c r="N20" s="283"/>
      <c r="O20" s="283"/>
      <c r="P20" s="283"/>
      <c r="Q20" s="277"/>
      <c r="R20" s="277"/>
      <c r="S20" s="277"/>
      <c r="T20" s="277"/>
      <c r="U20" s="277"/>
      <c r="V20" s="277"/>
    </row>
    <row r="21" spans="1:22" s="278" customFormat="1">
      <c r="A21" s="252"/>
      <c r="B21" s="252"/>
      <c r="C21" s="282"/>
      <c r="D21" s="37"/>
      <c r="E21" s="280"/>
      <c r="F21" s="280"/>
      <c r="G21" s="280"/>
      <c r="H21" s="281"/>
      <c r="I21" s="257"/>
      <c r="J21" s="244"/>
      <c r="K21" s="282"/>
      <c r="L21" s="282"/>
      <c r="M21" s="283"/>
      <c r="N21" s="283"/>
      <c r="O21" s="283"/>
      <c r="P21" s="283"/>
      <c r="Q21" s="277"/>
      <c r="R21" s="277"/>
      <c r="S21" s="277"/>
      <c r="T21" s="277"/>
      <c r="U21" s="277"/>
      <c r="V21" s="277"/>
    </row>
    <row r="22" spans="1:22" s="278" customFormat="1" ht="52.5" customHeight="1">
      <c r="A22" s="252" t="s">
        <v>18</v>
      </c>
      <c r="B22" s="37" t="s">
        <v>25</v>
      </c>
      <c r="C22" s="38" t="str">
        <f>VLOOKUP($B22,SINAPI!$C$6:J5879,2,0)</f>
        <v>BARRACAO DE OBRA PARA ALOJAMENTO/ESCRITORIO, PISO EM PINHO 3A, PAREDES EM COMPENSADO 10MM, COBERTURA EM TELHA AMIANTO 6MM, INCLUSO INSTALACOES ELETRICAS E ESQUADRIAS</v>
      </c>
      <c r="D22" s="39" t="str">
        <f>VLOOKUP($B22,SINAPI!$C$6:K5879,3,0)</f>
        <v>M2</v>
      </c>
      <c r="E22" s="250"/>
      <c r="F22" s="250"/>
      <c r="G22" s="250"/>
      <c r="H22" s="251"/>
      <c r="I22" s="274">
        <f>I26</f>
        <v>9</v>
      </c>
      <c r="J22" s="244"/>
      <c r="K22" s="245">
        <f>VLOOKUP($B22,SINAPI!$C$6:R5879,4,0)</f>
        <v>257.13</v>
      </c>
      <c r="L22" s="245"/>
      <c r="M22" s="275"/>
      <c r="N22" s="275"/>
      <c r="O22" s="275"/>
      <c r="P22" s="276">
        <f>SUM(K22:O22)</f>
        <v>257.13</v>
      </c>
      <c r="Q22" s="277"/>
      <c r="R22" s="277"/>
      <c r="S22" s="277"/>
      <c r="T22" s="277"/>
      <c r="U22" s="277"/>
      <c r="V22" s="277"/>
    </row>
    <row r="23" spans="1:22" s="278" customFormat="1">
      <c r="A23" s="252"/>
      <c r="B23" s="37"/>
      <c r="C23" s="38"/>
      <c r="D23" s="39"/>
      <c r="E23" s="250"/>
      <c r="F23" s="250"/>
      <c r="G23" s="250"/>
      <c r="H23" s="251"/>
      <c r="I23" s="274"/>
      <c r="J23" s="244"/>
      <c r="K23" s="258"/>
      <c r="L23" s="258"/>
      <c r="M23" s="286"/>
      <c r="N23" s="286"/>
      <c r="O23" s="286"/>
      <c r="P23" s="287"/>
      <c r="Q23" s="277"/>
      <c r="R23" s="277"/>
      <c r="S23" s="277"/>
      <c r="T23" s="277"/>
      <c r="U23" s="277"/>
      <c r="V23" s="277"/>
    </row>
    <row r="24" spans="1:22" s="278" customFormat="1">
      <c r="A24" s="252"/>
      <c r="B24" s="39"/>
      <c r="C24" s="288" t="s">
        <v>347</v>
      </c>
      <c r="D24" s="289"/>
      <c r="E24" s="284">
        <v>3</v>
      </c>
      <c r="F24" s="284">
        <v>3</v>
      </c>
      <c r="G24" s="284"/>
      <c r="H24" s="290"/>
      <c r="I24" s="257">
        <f>PRODUCT(E24:H24)</f>
        <v>9</v>
      </c>
      <c r="J24" s="244"/>
      <c r="K24" s="258"/>
      <c r="L24" s="258"/>
      <c r="M24" s="286"/>
      <c r="N24" s="286"/>
      <c r="O24" s="286"/>
      <c r="P24" s="287"/>
      <c r="Q24" s="277"/>
      <c r="R24" s="277"/>
      <c r="S24" s="277"/>
      <c r="T24" s="277"/>
      <c r="U24" s="277"/>
      <c r="V24" s="277"/>
    </row>
    <row r="25" spans="1:22" s="278" customFormat="1">
      <c r="A25" s="252"/>
      <c r="B25" s="39"/>
      <c r="C25" s="288"/>
      <c r="D25" s="289"/>
      <c r="E25" s="284"/>
      <c r="F25" s="284"/>
      <c r="G25" s="284"/>
      <c r="H25" s="281"/>
      <c r="I25" s="257"/>
      <c r="J25" s="244"/>
      <c r="K25" s="258"/>
      <c r="L25" s="258"/>
      <c r="M25" s="286"/>
      <c r="N25" s="286"/>
      <c r="O25" s="286"/>
      <c r="P25" s="287"/>
      <c r="Q25" s="277"/>
      <c r="R25" s="277"/>
      <c r="S25" s="277"/>
      <c r="T25" s="277"/>
      <c r="U25" s="277"/>
      <c r="V25" s="277"/>
    </row>
    <row r="26" spans="1:22" s="278" customFormat="1">
      <c r="A26" s="252"/>
      <c r="B26" s="39"/>
      <c r="C26" s="291"/>
      <c r="D26" s="289"/>
      <c r="E26" s="284"/>
      <c r="F26" s="284"/>
      <c r="G26" s="284"/>
      <c r="H26" s="263" t="s">
        <v>253</v>
      </c>
      <c r="I26" s="264">
        <f>SUM(I24:I24)</f>
        <v>9</v>
      </c>
      <c r="J26" s="244"/>
      <c r="K26" s="258"/>
      <c r="L26" s="258"/>
      <c r="M26" s="286"/>
      <c r="N26" s="286"/>
      <c r="O26" s="286"/>
      <c r="P26" s="287"/>
      <c r="Q26" s="277"/>
      <c r="R26" s="277"/>
      <c r="S26" s="277"/>
      <c r="T26" s="277"/>
      <c r="U26" s="277"/>
      <c r="V26" s="277"/>
    </row>
    <row r="27" spans="1:22" s="278" customFormat="1">
      <c r="A27" s="252"/>
      <c r="B27" s="39"/>
      <c r="C27" s="289"/>
      <c r="D27" s="289"/>
      <c r="E27" s="284"/>
      <c r="F27" s="284"/>
      <c r="G27" s="292"/>
      <c r="H27" s="293"/>
      <c r="I27" s="294">
        <f>PRODUCT(E27:H27)</f>
        <v>0</v>
      </c>
      <c r="J27" s="244"/>
      <c r="K27" s="258"/>
      <c r="L27" s="258"/>
      <c r="M27" s="286"/>
      <c r="N27" s="286"/>
      <c r="O27" s="286"/>
      <c r="P27" s="287"/>
      <c r="Q27" s="277"/>
      <c r="R27" s="277"/>
      <c r="S27" s="277"/>
      <c r="T27" s="277"/>
      <c r="U27" s="277"/>
      <c r="V27" s="277"/>
    </row>
    <row r="28" spans="1:22" s="278" customFormat="1" ht="81" customHeight="1">
      <c r="A28" s="252" t="s">
        <v>21</v>
      </c>
      <c r="B28" s="37" t="s">
        <v>28</v>
      </c>
      <c r="C28" s="38" t="str">
        <f>VLOOKUP($B28,SINAPI!$C$6:J5887,2,0)</f>
        <v>SANITARIO COM VASO E CHUVEIRO PARA PESSOAL DE OBRA, COLETIVO DE 2 MODULOS E 4M2, PAREDES CHAPAS DE MADEIRA COMPENSADA PLASTIFICADA 10MM, TELHAS ONDULADAS DE 6MM DE FIBROCIMENTO, INCLUSIVE INSTALACAO E APARELHOS, REAPROVEITADO 2 VEZES (INSTALACOES E APARE</v>
      </c>
      <c r="D28" s="39" t="str">
        <f>VLOOKUP($B28,SINAPI!$C$6:K5887,3,0)</f>
        <v>UN</v>
      </c>
      <c r="E28" s="250"/>
      <c r="F28" s="250"/>
      <c r="G28" s="250"/>
      <c r="H28" s="251"/>
      <c r="I28" s="274">
        <f>I32</f>
        <v>1</v>
      </c>
      <c r="J28" s="244"/>
      <c r="K28" s="245">
        <f>VLOOKUP($B28,SINAPI!$C$6:R5887,4,0)</f>
        <v>3279.39</v>
      </c>
      <c r="L28" s="245"/>
      <c r="M28" s="275"/>
      <c r="N28" s="275"/>
      <c r="O28" s="275"/>
      <c r="P28" s="276">
        <f>SUM(K28:O28)</f>
        <v>3279.39</v>
      </c>
      <c r="Q28" s="277"/>
      <c r="R28" s="277"/>
      <c r="S28" s="277"/>
      <c r="T28" s="277"/>
      <c r="U28" s="277"/>
      <c r="V28" s="277"/>
    </row>
    <row r="29" spans="1:22" s="278" customFormat="1">
      <c r="A29" s="252"/>
      <c r="B29" s="37"/>
      <c r="C29" s="38"/>
      <c r="D29" s="39"/>
      <c r="E29" s="250"/>
      <c r="F29" s="250"/>
      <c r="G29" s="250"/>
      <c r="H29" s="251"/>
      <c r="I29" s="274"/>
      <c r="J29" s="244"/>
      <c r="K29" s="258"/>
      <c r="L29" s="258"/>
      <c r="M29" s="286"/>
      <c r="N29" s="286"/>
      <c r="O29" s="286"/>
      <c r="P29" s="287"/>
      <c r="Q29" s="277"/>
      <c r="R29" s="277"/>
      <c r="S29" s="277"/>
      <c r="T29" s="277"/>
      <c r="U29" s="277"/>
      <c r="V29" s="277"/>
    </row>
    <row r="30" spans="1:22" s="278" customFormat="1">
      <c r="A30" s="252"/>
      <c r="B30" s="37"/>
      <c r="C30" s="38" t="s">
        <v>348</v>
      </c>
      <c r="D30" s="39"/>
      <c r="E30" s="250"/>
      <c r="F30" s="250"/>
      <c r="G30" s="250"/>
      <c r="H30" s="281">
        <v>1</v>
      </c>
      <c r="I30" s="262">
        <f>PRODUCT(E30:H30)</f>
        <v>1</v>
      </c>
      <c r="J30" s="244"/>
      <c r="K30" s="258"/>
      <c r="L30" s="258"/>
      <c r="M30" s="286"/>
      <c r="N30" s="286"/>
      <c r="O30" s="286"/>
      <c r="P30" s="287"/>
      <c r="Q30" s="277"/>
      <c r="R30" s="277"/>
      <c r="S30" s="277"/>
      <c r="T30" s="277"/>
      <c r="U30" s="277"/>
      <c r="V30" s="277"/>
    </row>
    <row r="31" spans="1:22" s="278" customFormat="1">
      <c r="A31" s="252"/>
      <c r="B31" s="37"/>
      <c r="C31" s="38"/>
      <c r="D31" s="39"/>
      <c r="E31" s="250"/>
      <c r="F31" s="250"/>
      <c r="G31" s="250"/>
      <c r="H31" s="281"/>
      <c r="I31" s="262"/>
      <c r="J31" s="244"/>
      <c r="K31" s="258"/>
      <c r="L31" s="258"/>
      <c r="M31" s="286"/>
      <c r="N31" s="286"/>
      <c r="O31" s="286"/>
      <c r="P31" s="287"/>
      <c r="Q31" s="277"/>
      <c r="R31" s="277"/>
      <c r="S31" s="277"/>
      <c r="T31" s="277"/>
      <c r="U31" s="277"/>
      <c r="V31" s="277"/>
    </row>
    <row r="32" spans="1:22" s="278" customFormat="1">
      <c r="A32" s="252"/>
      <c r="B32" s="39"/>
      <c r="C32" s="289"/>
      <c r="D32" s="289"/>
      <c r="E32" s="284"/>
      <c r="F32" s="284"/>
      <c r="G32" s="292"/>
      <c r="H32" s="263" t="s">
        <v>253</v>
      </c>
      <c r="I32" s="264">
        <f>SUM(I30:I31)</f>
        <v>1</v>
      </c>
      <c r="J32" s="244"/>
      <c r="K32" s="258"/>
      <c r="L32" s="258"/>
      <c r="M32" s="286"/>
      <c r="N32" s="286"/>
      <c r="O32" s="286"/>
      <c r="P32" s="287"/>
      <c r="Q32" s="277"/>
      <c r="R32" s="277"/>
      <c r="S32" s="277"/>
      <c r="T32" s="277"/>
      <c r="U32" s="277"/>
      <c r="V32" s="277"/>
    </row>
    <row r="33" spans="1:22" s="278" customFormat="1">
      <c r="A33" s="252"/>
      <c r="B33" s="39"/>
      <c r="C33" s="289"/>
      <c r="D33" s="289"/>
      <c r="E33" s="284"/>
      <c r="F33" s="284"/>
      <c r="G33" s="292"/>
      <c r="H33" s="295"/>
      <c r="I33" s="296"/>
      <c r="J33" s="244"/>
      <c r="K33" s="258"/>
      <c r="L33" s="258"/>
      <c r="M33" s="286"/>
      <c r="N33" s="286"/>
      <c r="O33" s="286"/>
      <c r="P33" s="287"/>
      <c r="Q33" s="277"/>
      <c r="R33" s="277"/>
      <c r="S33" s="277"/>
      <c r="T33" s="277"/>
      <c r="U33" s="277"/>
      <c r="V33" s="277"/>
    </row>
    <row r="34" spans="1:22" s="278" customFormat="1">
      <c r="A34" s="252"/>
      <c r="B34" s="39"/>
      <c r="C34" s="291"/>
      <c r="D34" s="39"/>
      <c r="E34" s="284"/>
      <c r="F34" s="284"/>
      <c r="G34" s="250"/>
      <c r="H34" s="297"/>
      <c r="I34" s="298"/>
      <c r="J34" s="244"/>
      <c r="K34" s="258"/>
      <c r="L34" s="258"/>
      <c r="M34" s="286"/>
      <c r="N34" s="286"/>
      <c r="O34" s="286"/>
      <c r="P34" s="287"/>
      <c r="Q34" s="277"/>
      <c r="R34" s="277"/>
      <c r="S34" s="277"/>
      <c r="T34" s="277"/>
      <c r="U34" s="277"/>
      <c r="V34" s="277"/>
    </row>
    <row r="35" spans="1:22" s="278" customFormat="1" ht="49.5" customHeight="1">
      <c r="A35" s="252" t="s">
        <v>24</v>
      </c>
      <c r="B35" s="37" t="s">
        <v>32</v>
      </c>
      <c r="C35" s="38" t="str">
        <f>VLOOKUP($B35,SINAPI!$C$6:J5902,2,0)</f>
        <v>INSTAL/LIGACAO PROVISORIA ELETRICA BAIXA TENSAO P/CANT OBRA OBRA,M3-CHAVE 100A CARGA 3KWH,20CV EXCL FORN MEDIDOR</v>
      </c>
      <c r="D35" s="39" t="str">
        <f>VLOOKUP($B35,SINAPI!$C$6:K5903,3,0)</f>
        <v>UN</v>
      </c>
      <c r="E35" s="250"/>
      <c r="F35" s="250"/>
      <c r="G35" s="250"/>
      <c r="H35" s="251"/>
      <c r="I35" s="274">
        <f>I39</f>
        <v>1</v>
      </c>
      <c r="J35" s="244"/>
      <c r="K35" s="245">
        <f>VLOOKUP($B35,SINAPI!$C$6:R5902,4,0)</f>
        <v>1354.62</v>
      </c>
      <c r="L35" s="245"/>
      <c r="M35" s="275"/>
      <c r="N35" s="275"/>
      <c r="O35" s="275"/>
      <c r="P35" s="276">
        <f>SUM(K35:O35)</f>
        <v>1354.62</v>
      </c>
      <c r="Q35" s="277"/>
      <c r="R35" s="277"/>
      <c r="S35" s="277"/>
      <c r="T35" s="277"/>
      <c r="U35" s="277"/>
      <c r="V35" s="277"/>
    </row>
    <row r="36" spans="1:22" s="278" customFormat="1">
      <c r="A36" s="252"/>
      <c r="B36" s="37"/>
      <c r="C36" s="38"/>
      <c r="D36" s="39"/>
      <c r="E36" s="250"/>
      <c r="F36" s="250"/>
      <c r="G36" s="250"/>
      <c r="H36" s="251"/>
      <c r="I36" s="274"/>
      <c r="J36" s="244"/>
      <c r="K36" s="258"/>
      <c r="L36" s="258"/>
      <c r="M36" s="286"/>
      <c r="N36" s="286"/>
      <c r="O36" s="286"/>
      <c r="P36" s="287"/>
      <c r="Q36" s="277"/>
      <c r="R36" s="277"/>
      <c r="S36" s="277"/>
      <c r="T36" s="277"/>
      <c r="U36" s="277"/>
      <c r="V36" s="277"/>
    </row>
    <row r="37" spans="1:22" s="278" customFormat="1">
      <c r="A37" s="252"/>
      <c r="B37" s="37"/>
      <c r="C37" s="288" t="s">
        <v>349</v>
      </c>
      <c r="D37" s="39"/>
      <c r="E37" s="299"/>
      <c r="F37" s="250"/>
      <c r="G37" s="250"/>
      <c r="H37" s="261">
        <v>1</v>
      </c>
      <c r="I37" s="250">
        <f>PRODUCT(E37:H37)</f>
        <v>1</v>
      </c>
      <c r="J37" s="244"/>
      <c r="K37" s="258"/>
      <c r="L37" s="258"/>
      <c r="M37" s="286"/>
      <c r="N37" s="286"/>
      <c r="O37" s="286"/>
      <c r="P37" s="287"/>
      <c r="Q37" s="277"/>
      <c r="R37" s="277"/>
      <c r="S37" s="277"/>
      <c r="T37" s="277"/>
      <c r="U37" s="277"/>
      <c r="V37" s="277"/>
    </row>
    <row r="38" spans="1:22" s="278" customFormat="1">
      <c r="A38" s="252"/>
      <c r="B38" s="37"/>
      <c r="C38" s="38"/>
      <c r="D38" s="39"/>
      <c r="E38" s="299"/>
      <c r="F38" s="250"/>
      <c r="G38" s="250"/>
      <c r="H38" s="261"/>
      <c r="I38" s="262"/>
      <c r="J38" s="244"/>
      <c r="K38" s="258"/>
      <c r="L38" s="258"/>
      <c r="M38" s="286"/>
      <c r="N38" s="286"/>
      <c r="O38" s="286"/>
      <c r="P38" s="287"/>
      <c r="Q38" s="277"/>
      <c r="R38" s="277"/>
      <c r="S38" s="277"/>
      <c r="T38" s="277"/>
      <c r="U38" s="277"/>
      <c r="V38" s="277"/>
    </row>
    <row r="39" spans="1:22" s="278" customFormat="1">
      <c r="A39" s="252"/>
      <c r="B39" s="37"/>
      <c r="C39" s="38"/>
      <c r="D39" s="39"/>
      <c r="E39" s="250"/>
      <c r="F39" s="250"/>
      <c r="G39" s="250"/>
      <c r="H39" s="263" t="s">
        <v>253</v>
      </c>
      <c r="I39" s="264">
        <f>SUM(I37:I38)</f>
        <v>1</v>
      </c>
      <c r="J39" s="244"/>
      <c r="K39" s="258"/>
      <c r="L39" s="258"/>
      <c r="M39" s="286"/>
      <c r="N39" s="286"/>
      <c r="O39" s="286"/>
      <c r="P39" s="287"/>
      <c r="Q39" s="277"/>
      <c r="R39" s="277"/>
      <c r="S39" s="277"/>
      <c r="T39" s="277"/>
      <c r="U39" s="277"/>
      <c r="V39" s="277"/>
    </row>
    <row r="40" spans="1:22" s="278" customFormat="1">
      <c r="A40" s="252"/>
      <c r="B40" s="39"/>
      <c r="C40" s="289"/>
      <c r="D40" s="39"/>
      <c r="E40" s="284"/>
      <c r="F40" s="284"/>
      <c r="G40" s="250"/>
      <c r="H40" s="300"/>
      <c r="I40" s="294">
        <f>PRODUCT(E40:H40)</f>
        <v>0</v>
      </c>
      <c r="J40" s="244"/>
      <c r="K40" s="258"/>
      <c r="L40" s="258"/>
      <c r="M40" s="286"/>
      <c r="N40" s="286"/>
      <c r="O40" s="286"/>
      <c r="P40" s="287"/>
      <c r="Q40" s="277"/>
      <c r="R40" s="277"/>
      <c r="S40" s="277"/>
      <c r="T40" s="277"/>
      <c r="U40" s="277"/>
      <c r="V40" s="277"/>
    </row>
    <row r="41" spans="1:22" s="278" customFormat="1" ht="82.5" customHeight="1">
      <c r="A41" s="252" t="s">
        <v>27</v>
      </c>
      <c r="B41" s="37" t="s">
        <v>35</v>
      </c>
      <c r="C41" s="38" t="str">
        <f>VLOOKUP($B41,SINAPI!$C$6:J5907,2,0)</f>
        <v>LIGAÇÃO DOMICILIAR DE ÁGUA, DA REDE AO HIDRÔMETRO, COMPOSTO POR COLAR DE TOMADA DE PVC COM TRAVAS DE 50MMX1/2, ADAPTADOR PVC SOLDÁVEL/ROSCA 20MMX1/2, TUBO PVC SOLDÁVEL ÁGUA FRIA 20MM E REGISTRO DE PVC ESFERA ROSCÁVEL 1/2 - FORNECIMENTO E INSTALAÇÃO</v>
      </c>
      <c r="D41" s="39" t="str">
        <f>VLOOKUP($B41,SINAPI!$C$6:K5908,3,0)</f>
        <v>UN</v>
      </c>
      <c r="E41" s="250"/>
      <c r="F41" s="250"/>
      <c r="G41" s="250"/>
      <c r="H41" s="251"/>
      <c r="I41" s="274">
        <f>I45</f>
        <v>1</v>
      </c>
      <c r="J41" s="244"/>
      <c r="K41" s="245">
        <f>VLOOKUP($B41,SINAPI!$C$6:R5907,4,0)</f>
        <v>897.07</v>
      </c>
      <c r="L41" s="245"/>
      <c r="M41" s="275"/>
      <c r="N41" s="275"/>
      <c r="O41" s="275"/>
      <c r="P41" s="276">
        <f>SUM(K41:O41)</f>
        <v>897.07</v>
      </c>
      <c r="Q41" s="277"/>
      <c r="R41" s="277"/>
      <c r="S41" s="277"/>
      <c r="T41" s="277"/>
      <c r="U41" s="277"/>
      <c r="V41" s="277"/>
    </row>
    <row r="42" spans="1:22" s="278" customFormat="1">
      <c r="A42" s="252"/>
      <c r="B42" s="37"/>
      <c r="C42" s="38"/>
      <c r="D42" s="39"/>
      <c r="E42" s="250"/>
      <c r="F42" s="250"/>
      <c r="G42" s="250"/>
      <c r="H42" s="251"/>
      <c r="I42" s="274"/>
      <c r="J42" s="244"/>
      <c r="K42" s="258"/>
      <c r="L42" s="258"/>
      <c r="M42" s="286"/>
      <c r="N42" s="286"/>
      <c r="O42" s="286"/>
      <c r="P42" s="287"/>
      <c r="Q42" s="277"/>
      <c r="R42" s="277"/>
      <c r="S42" s="277"/>
      <c r="T42" s="277"/>
      <c r="U42" s="277"/>
      <c r="V42" s="277"/>
    </row>
    <row r="43" spans="1:22" s="278" customFormat="1">
      <c r="A43" s="252"/>
      <c r="B43" s="37"/>
      <c r="C43" s="288" t="s">
        <v>349</v>
      </c>
      <c r="D43" s="39"/>
      <c r="E43" s="299"/>
      <c r="F43" s="250"/>
      <c r="G43" s="250"/>
      <c r="H43" s="251">
        <v>1</v>
      </c>
      <c r="I43" s="250">
        <f>PRODUCT(E43:H43)</f>
        <v>1</v>
      </c>
      <c r="J43" s="244"/>
      <c r="K43" s="258"/>
      <c r="L43" s="258"/>
      <c r="M43" s="286"/>
      <c r="N43" s="286"/>
      <c r="O43" s="286"/>
      <c r="P43" s="287"/>
      <c r="Q43" s="277"/>
      <c r="R43" s="277"/>
      <c r="S43" s="277"/>
      <c r="T43" s="277"/>
      <c r="U43" s="277"/>
      <c r="V43" s="277"/>
    </row>
    <row r="44" spans="1:22" s="278" customFormat="1">
      <c r="A44" s="252"/>
      <c r="B44" s="37"/>
      <c r="C44" s="38"/>
      <c r="D44" s="39"/>
      <c r="E44" s="299"/>
      <c r="F44" s="250"/>
      <c r="G44" s="250"/>
      <c r="H44" s="261"/>
      <c r="I44" s="262"/>
      <c r="J44" s="244"/>
      <c r="K44" s="258"/>
      <c r="L44" s="258"/>
      <c r="M44" s="286"/>
      <c r="N44" s="286"/>
      <c r="O44" s="286"/>
      <c r="P44" s="287"/>
      <c r="Q44" s="277"/>
      <c r="R44" s="277"/>
      <c r="S44" s="277"/>
      <c r="T44" s="277"/>
      <c r="U44" s="277"/>
      <c r="V44" s="277"/>
    </row>
    <row r="45" spans="1:22" s="278" customFormat="1">
      <c r="A45" s="252"/>
      <c r="B45" s="37"/>
      <c r="C45" s="38"/>
      <c r="D45" s="39"/>
      <c r="E45" s="250"/>
      <c r="F45" s="250"/>
      <c r="G45" s="250"/>
      <c r="H45" s="263" t="s">
        <v>253</v>
      </c>
      <c r="I45" s="264">
        <f>SUM(I43:I44)</f>
        <v>1</v>
      </c>
      <c r="J45" s="244"/>
      <c r="K45" s="258"/>
      <c r="L45" s="258"/>
      <c r="M45" s="286"/>
      <c r="N45" s="286"/>
      <c r="O45" s="286"/>
      <c r="P45" s="287"/>
      <c r="Q45" s="277"/>
      <c r="R45" s="277"/>
      <c r="S45" s="277"/>
      <c r="T45" s="277"/>
      <c r="U45" s="277"/>
      <c r="V45" s="277"/>
    </row>
    <row r="46" spans="1:22" s="278" customFormat="1">
      <c r="A46" s="252"/>
      <c r="B46" s="39"/>
      <c r="C46" s="253"/>
      <c r="D46" s="254"/>
      <c r="E46" s="255"/>
      <c r="F46" s="255"/>
      <c r="G46" s="255"/>
      <c r="H46" s="301"/>
      <c r="I46" s="294"/>
      <c r="J46" s="244"/>
      <c r="K46" s="258"/>
      <c r="L46" s="258"/>
      <c r="M46" s="286"/>
      <c r="N46" s="286"/>
      <c r="O46" s="286"/>
      <c r="P46" s="287"/>
      <c r="Q46" s="277"/>
      <c r="R46" s="277"/>
      <c r="S46" s="277"/>
      <c r="T46" s="277"/>
      <c r="U46" s="277"/>
      <c r="V46" s="277"/>
    </row>
    <row r="47" spans="1:22" s="278" customFormat="1" ht="81.75" customHeight="1">
      <c r="A47" s="252" t="s">
        <v>31</v>
      </c>
      <c r="B47" s="37" t="s">
        <v>37</v>
      </c>
      <c r="C47" s="38" t="str">
        <f>VLOOKUP($B47,SINAPI!$C$6:J5912,2,0)</f>
        <v xml:space="preserve">LIGAÇÃO DE ESGOTO EM TUBO PVC ESGOTO SÉRIE-R DN 100MM, DA CAIXA ATÉ A REDE, INCLUINDO ESCAVAÇÃO E REATERRO ATÉ 1,00M, COMPOSTO POR 10,50M DE TUBO PVC SÉRIE-R ESGOTO DN 100MM, JUNÇÃO SIMPLES PVC PARA ESGOTO PREDIAL DN 100X100MM E CURVA PVC 90 GRAUS </v>
      </c>
      <c r="D47" s="39" t="str">
        <f>VLOOKUP($B47,SINAPI!$C$6:K5913,3,0)</f>
        <v>UN</v>
      </c>
      <c r="E47" s="250"/>
      <c r="F47" s="250"/>
      <c r="G47" s="250"/>
      <c r="H47" s="251"/>
      <c r="I47" s="274">
        <f>I51</f>
        <v>1</v>
      </c>
      <c r="J47" s="244"/>
      <c r="K47" s="245">
        <f>VLOOKUP($B47,SINAPI!$C$6:R5912,4,0)</f>
        <v>792.91</v>
      </c>
      <c r="L47" s="245"/>
      <c r="M47" s="275"/>
      <c r="N47" s="275"/>
      <c r="O47" s="275"/>
      <c r="P47" s="276">
        <f>SUM(K47:O47)</f>
        <v>792.91</v>
      </c>
      <c r="Q47" s="277"/>
      <c r="R47" s="277"/>
      <c r="S47" s="277"/>
      <c r="T47" s="277"/>
      <c r="U47" s="277"/>
      <c r="V47" s="277"/>
    </row>
    <row r="48" spans="1:22" s="278" customFormat="1">
      <c r="A48" s="252"/>
      <c r="B48" s="37"/>
      <c r="C48" s="38"/>
      <c r="D48" s="39"/>
      <c r="E48" s="250"/>
      <c r="F48" s="250"/>
      <c r="G48" s="250"/>
      <c r="H48" s="251"/>
      <c r="I48" s="274"/>
      <c r="J48" s="244"/>
      <c r="K48" s="258"/>
      <c r="L48" s="258"/>
      <c r="M48" s="286"/>
      <c r="N48" s="286"/>
      <c r="O48" s="286"/>
      <c r="P48" s="287"/>
      <c r="Q48" s="277"/>
      <c r="R48" s="277"/>
      <c r="S48" s="277"/>
      <c r="T48" s="277"/>
      <c r="U48" s="277"/>
      <c r="V48" s="277"/>
    </row>
    <row r="49" spans="1:22" s="278" customFormat="1">
      <c r="A49" s="252"/>
      <c r="B49" s="37"/>
      <c r="C49" s="288" t="s">
        <v>349</v>
      </c>
      <c r="D49" s="39"/>
      <c r="E49" s="299"/>
      <c r="F49" s="250"/>
      <c r="G49" s="250"/>
      <c r="H49" s="261">
        <v>1</v>
      </c>
      <c r="I49" s="250">
        <f>PRODUCT(E49:H49)</f>
        <v>1</v>
      </c>
      <c r="J49" s="244"/>
      <c r="K49" s="258"/>
      <c r="L49" s="258"/>
      <c r="M49" s="286"/>
      <c r="N49" s="286"/>
      <c r="O49" s="286"/>
      <c r="P49" s="287"/>
      <c r="Q49" s="277"/>
      <c r="R49" s="277"/>
      <c r="S49" s="277"/>
      <c r="T49" s="277"/>
      <c r="U49" s="277"/>
      <c r="V49" s="277"/>
    </row>
    <row r="50" spans="1:22" s="278" customFormat="1">
      <c r="A50" s="252"/>
      <c r="B50" s="37"/>
      <c r="C50" s="38"/>
      <c r="D50" s="39"/>
      <c r="E50" s="299"/>
      <c r="F50" s="250"/>
      <c r="G50" s="250"/>
      <c r="H50" s="261"/>
      <c r="I50" s="262"/>
      <c r="J50" s="244"/>
      <c r="K50" s="258"/>
      <c r="L50" s="258"/>
      <c r="M50" s="286"/>
      <c r="N50" s="286"/>
      <c r="O50" s="286"/>
      <c r="P50" s="287"/>
      <c r="Q50" s="277"/>
      <c r="R50" s="277"/>
      <c r="S50" s="277"/>
      <c r="T50" s="277"/>
      <c r="U50" s="277"/>
      <c r="V50" s="277"/>
    </row>
    <row r="51" spans="1:22" s="278" customFormat="1">
      <c r="A51" s="252"/>
      <c r="B51" s="37"/>
      <c r="C51" s="38"/>
      <c r="D51" s="39"/>
      <c r="E51" s="250"/>
      <c r="F51" s="250"/>
      <c r="G51" s="250"/>
      <c r="H51" s="263" t="s">
        <v>253</v>
      </c>
      <c r="I51" s="264">
        <f>SUM(I49:I50)</f>
        <v>1</v>
      </c>
      <c r="J51" s="244"/>
      <c r="K51" s="258"/>
      <c r="L51" s="258"/>
      <c r="M51" s="286"/>
      <c r="N51" s="286"/>
      <c r="O51" s="286"/>
      <c r="P51" s="287"/>
      <c r="Q51" s="277"/>
      <c r="R51" s="277"/>
      <c r="S51" s="277"/>
      <c r="T51" s="277"/>
      <c r="U51" s="277"/>
      <c r="V51" s="277"/>
    </row>
    <row r="52" spans="1:22">
      <c r="A52" s="252"/>
      <c r="B52" s="39"/>
      <c r="C52" s="253"/>
      <c r="D52" s="254"/>
      <c r="E52" s="255"/>
      <c r="F52" s="255"/>
      <c r="G52" s="255"/>
      <c r="H52" s="301"/>
      <c r="I52" s="294"/>
      <c r="J52" s="244"/>
      <c r="K52" s="258"/>
      <c r="L52" s="258"/>
      <c r="M52" s="258"/>
      <c r="N52" s="258"/>
      <c r="O52" s="258"/>
      <c r="P52" s="259"/>
      <c r="Q52" s="247"/>
      <c r="R52" s="247"/>
      <c r="S52" s="247"/>
      <c r="T52" s="247"/>
      <c r="U52" s="247"/>
      <c r="V52" s="247"/>
    </row>
    <row r="53" spans="1:22" s="278" customFormat="1" ht="15.75" customHeight="1">
      <c r="A53" s="252" t="s">
        <v>34</v>
      </c>
      <c r="B53" s="37" t="s">
        <v>40</v>
      </c>
      <c r="C53" s="38" t="str">
        <f>VLOOKUP($B53,SINAPI!$C$6:J5899,2,0)</f>
        <v>PLACA DE OBRA EM CHAPA DE ACO GALVANIZADO</v>
      </c>
      <c r="D53" s="39" t="str">
        <f>VLOOKUP($B53,SINAPI!$C$6:K5899,3,0)</f>
        <v>M2</v>
      </c>
      <c r="E53" s="250"/>
      <c r="F53" s="250"/>
      <c r="G53" s="250"/>
      <c r="H53" s="251"/>
      <c r="I53" s="250">
        <f>I59</f>
        <v>20</v>
      </c>
      <c r="J53" s="244"/>
      <c r="K53" s="245">
        <f>VLOOKUP($B53,SINAPI!$C$6:R5899,4,0)</f>
        <v>332.85</v>
      </c>
      <c r="L53" s="245"/>
      <c r="M53" s="275"/>
      <c r="N53" s="275"/>
      <c r="O53" s="275"/>
      <c r="P53" s="276">
        <f>SUM(K53:O53)</f>
        <v>332.85</v>
      </c>
      <c r="Q53" s="277"/>
      <c r="R53" s="277"/>
      <c r="S53" s="277"/>
      <c r="T53" s="277"/>
      <c r="U53" s="277"/>
      <c r="V53" s="277"/>
    </row>
    <row r="54" spans="1:22" s="278" customFormat="1">
      <c r="A54" s="252"/>
      <c r="B54" s="39"/>
      <c r="C54" s="253"/>
      <c r="D54" s="254"/>
      <c r="E54" s="255"/>
      <c r="F54" s="255"/>
      <c r="G54" s="255"/>
      <c r="H54" s="256"/>
      <c r="I54" s="257"/>
      <c r="J54" s="244"/>
      <c r="K54" s="258"/>
      <c r="L54" s="258"/>
      <c r="M54" s="286"/>
      <c r="N54" s="286"/>
      <c r="O54" s="286"/>
      <c r="P54" s="287"/>
      <c r="Q54" s="277"/>
      <c r="R54" s="277"/>
      <c r="S54" s="277"/>
      <c r="T54" s="277"/>
      <c r="U54" s="277"/>
      <c r="V54" s="277"/>
    </row>
    <row r="55" spans="1:22" s="278" customFormat="1">
      <c r="A55" s="252"/>
      <c r="B55" s="39"/>
      <c r="C55" s="38" t="s">
        <v>350</v>
      </c>
      <c r="D55" s="254"/>
      <c r="E55" s="255">
        <v>2</v>
      </c>
      <c r="F55" s="255"/>
      <c r="G55" s="255">
        <v>2</v>
      </c>
      <c r="H55" s="251"/>
      <c r="I55" s="250">
        <f>PRODUCT(E55:H55)</f>
        <v>4</v>
      </c>
      <c r="J55" s="244"/>
      <c r="K55" s="258"/>
      <c r="L55" s="258"/>
      <c r="M55" s="286"/>
      <c r="N55" s="286"/>
      <c r="O55" s="286"/>
      <c r="P55" s="287"/>
      <c r="Q55" s="277"/>
      <c r="R55" s="277"/>
      <c r="S55" s="277"/>
      <c r="T55" s="277"/>
      <c r="U55" s="277"/>
      <c r="V55" s="277"/>
    </row>
    <row r="56" spans="1:22" s="278" customFormat="1">
      <c r="A56" s="252"/>
      <c r="B56" s="39"/>
      <c r="C56" s="38" t="s">
        <v>349</v>
      </c>
      <c r="D56" s="254"/>
      <c r="E56" s="255">
        <v>2</v>
      </c>
      <c r="F56" s="255"/>
      <c r="G56" s="255">
        <v>2</v>
      </c>
      <c r="H56" s="261"/>
      <c r="I56" s="250">
        <f>PRODUCT(E56:H56)</f>
        <v>4</v>
      </c>
      <c r="J56" s="244"/>
      <c r="K56" s="258"/>
      <c r="L56" s="258"/>
      <c r="M56" s="286"/>
      <c r="N56" s="286"/>
      <c r="O56" s="286"/>
      <c r="P56" s="287"/>
      <c r="Q56" s="277"/>
      <c r="R56" s="277"/>
      <c r="S56" s="277"/>
      <c r="T56" s="277"/>
      <c r="U56" s="277"/>
      <c r="V56" s="277"/>
    </row>
    <row r="57" spans="1:22" s="278" customFormat="1">
      <c r="A57" s="252"/>
      <c r="B57" s="39"/>
      <c r="C57" s="279" t="s">
        <v>351</v>
      </c>
      <c r="D57" s="39"/>
      <c r="E57" s="250">
        <v>2</v>
      </c>
      <c r="F57" s="250"/>
      <c r="G57" s="250">
        <v>2</v>
      </c>
      <c r="H57" s="261">
        <v>3</v>
      </c>
      <c r="I57" s="250">
        <f>PRODUCT(E57:H57)</f>
        <v>12</v>
      </c>
      <c r="J57" s="244"/>
      <c r="K57" s="258"/>
      <c r="L57" s="258"/>
      <c r="M57" s="286"/>
      <c r="N57" s="286"/>
      <c r="O57" s="286"/>
      <c r="P57" s="287"/>
      <c r="Q57" s="277"/>
      <c r="R57" s="277"/>
      <c r="S57" s="277"/>
      <c r="T57" s="277"/>
      <c r="U57" s="277"/>
      <c r="V57" s="277"/>
    </row>
    <row r="58" spans="1:22" s="278" customFormat="1">
      <c r="A58" s="252"/>
      <c r="B58" s="39"/>
      <c r="C58" s="38"/>
      <c r="D58" s="254"/>
      <c r="E58" s="255"/>
      <c r="F58" s="255"/>
      <c r="G58" s="255"/>
      <c r="H58" s="261"/>
      <c r="I58" s="262"/>
      <c r="J58" s="244"/>
      <c r="K58" s="258"/>
      <c r="L58" s="258"/>
      <c r="M58" s="286"/>
      <c r="N58" s="286"/>
      <c r="O58" s="286"/>
      <c r="P58" s="287"/>
      <c r="Q58" s="277"/>
      <c r="R58" s="277"/>
      <c r="S58" s="277"/>
      <c r="T58" s="277"/>
      <c r="U58" s="277"/>
      <c r="V58" s="277"/>
    </row>
    <row r="59" spans="1:22">
      <c r="A59" s="252"/>
      <c r="B59" s="39"/>
      <c r="C59" s="253"/>
      <c r="D59" s="254"/>
      <c r="E59" s="255"/>
      <c r="F59" s="255"/>
      <c r="G59" s="255"/>
      <c r="H59" s="263" t="s">
        <v>253</v>
      </c>
      <c r="I59" s="264">
        <f>SUM(I55:I58)</f>
        <v>20</v>
      </c>
      <c r="J59" s="244"/>
      <c r="K59" s="258"/>
      <c r="L59" s="258"/>
      <c r="M59" s="258"/>
      <c r="N59" s="258"/>
      <c r="O59" s="258"/>
      <c r="P59" s="259"/>
      <c r="Q59" s="247"/>
      <c r="R59" s="247"/>
      <c r="S59" s="247"/>
      <c r="T59" s="247"/>
      <c r="U59" s="247"/>
      <c r="V59" s="247"/>
    </row>
    <row r="60" spans="1:22">
      <c r="A60" s="252"/>
      <c r="B60" s="39"/>
      <c r="C60" s="253"/>
      <c r="D60" s="254"/>
      <c r="E60" s="255"/>
      <c r="F60" s="255"/>
      <c r="G60" s="255"/>
      <c r="H60" s="302"/>
      <c r="I60" s="303"/>
      <c r="J60" s="244"/>
      <c r="K60" s="258"/>
      <c r="L60" s="258"/>
      <c r="M60" s="258"/>
      <c r="N60" s="258"/>
      <c r="O60" s="258"/>
      <c r="P60" s="259"/>
      <c r="Q60" s="247"/>
      <c r="R60" s="247"/>
      <c r="S60" s="247"/>
      <c r="T60" s="247"/>
      <c r="U60" s="247"/>
      <c r="V60" s="247"/>
    </row>
    <row r="61" spans="1:22" ht="25.5">
      <c r="A61" s="252" t="s">
        <v>36</v>
      </c>
      <c r="B61" s="37" t="s">
        <v>15</v>
      </c>
      <c r="C61" s="38" t="str">
        <f>VLOOKUP($B61,SINAPI!$C$6:J5907,2,0)</f>
        <v>TAPUME DE CHAPA DE MADEIRA COMPENSADA, E= 6MM, COM PINTURA A CAL E REAPROVEITAMENTO DE 2X</v>
      </c>
      <c r="D61" s="39" t="str">
        <f>VLOOKUP($B61,SINAPI!$C$6:K5907,3,0)</f>
        <v>M2</v>
      </c>
      <c r="E61" s="250"/>
      <c r="F61" s="250"/>
      <c r="G61" s="250"/>
      <c r="H61" s="251"/>
      <c r="I61" s="250">
        <f>I71</f>
        <v>369.28500000000003</v>
      </c>
      <c r="J61" s="244"/>
      <c r="K61" s="245">
        <f>VLOOKUP($B61,SINAPI!$C$6:R5907,4,0)</f>
        <v>41.09</v>
      </c>
      <c r="L61" s="258"/>
      <c r="M61" s="258"/>
      <c r="N61" s="258"/>
      <c r="O61" s="258"/>
      <c r="P61" s="259"/>
      <c r="Q61" s="247"/>
      <c r="R61" s="247"/>
      <c r="S61" s="247"/>
      <c r="T61" s="247"/>
      <c r="U61" s="247"/>
      <c r="V61" s="247"/>
    </row>
    <row r="62" spans="1:22" s="278" customFormat="1">
      <c r="A62" s="252"/>
      <c r="B62" s="252"/>
      <c r="C62" s="279"/>
      <c r="D62" s="37"/>
      <c r="E62" s="280"/>
      <c r="F62" s="280"/>
      <c r="G62" s="280"/>
      <c r="H62" s="256"/>
      <c r="I62" s="257"/>
      <c r="J62" s="244"/>
      <c r="K62" s="282"/>
      <c r="L62" s="282"/>
      <c r="M62" s="283"/>
      <c r="N62" s="283"/>
      <c r="O62" s="283"/>
      <c r="P62" s="283"/>
      <c r="Q62" s="277"/>
      <c r="R62" s="277"/>
      <c r="S62" s="277"/>
      <c r="T62" s="277"/>
      <c r="U62" s="277"/>
      <c r="V62" s="277"/>
    </row>
    <row r="63" spans="1:22" s="278" customFormat="1">
      <c r="A63" s="252"/>
      <c r="B63" s="252"/>
      <c r="C63" s="279" t="s">
        <v>352</v>
      </c>
      <c r="D63" s="37"/>
      <c r="E63" s="280">
        <v>28.13</v>
      </c>
      <c r="F63" s="280"/>
      <c r="G63" s="280">
        <v>1.5</v>
      </c>
      <c r="H63" s="256"/>
      <c r="I63" s="257">
        <f t="shared" ref="I63:I69" si="0">PRODUCT(E63:H63)</f>
        <v>42.195</v>
      </c>
      <c r="J63" s="244"/>
      <c r="K63" s="282"/>
      <c r="L63" s="282"/>
      <c r="M63" s="283"/>
      <c r="N63" s="283"/>
      <c r="O63" s="283"/>
      <c r="P63" s="283"/>
      <c r="Q63" s="277"/>
      <c r="R63" s="277"/>
      <c r="S63" s="277"/>
      <c r="T63" s="277"/>
      <c r="U63" s="277"/>
      <c r="V63" s="277"/>
    </row>
    <row r="64" spans="1:22" s="278" customFormat="1">
      <c r="A64" s="252"/>
      <c r="B64" s="252"/>
      <c r="C64" s="279"/>
      <c r="D64" s="37"/>
      <c r="E64" s="280">
        <f>9.29+8.95+1.58+6.31</f>
        <v>26.13</v>
      </c>
      <c r="F64" s="280"/>
      <c r="G64" s="280">
        <v>1.5</v>
      </c>
      <c r="H64" s="256"/>
      <c r="I64" s="257">
        <f t="shared" si="0"/>
        <v>39.195</v>
      </c>
      <c r="J64" s="244"/>
      <c r="K64" s="282"/>
      <c r="L64" s="282"/>
      <c r="M64" s="283"/>
      <c r="N64" s="283"/>
      <c r="O64" s="283"/>
      <c r="P64" s="283"/>
      <c r="Q64" s="277"/>
      <c r="R64" s="277"/>
      <c r="S64" s="277"/>
      <c r="T64" s="277"/>
      <c r="U64" s="277"/>
      <c r="V64" s="277"/>
    </row>
    <row r="65" spans="1:22" s="278" customFormat="1">
      <c r="A65" s="252"/>
      <c r="B65" s="252"/>
      <c r="C65" s="279"/>
      <c r="D65" s="37"/>
      <c r="E65" s="280">
        <f>7.49+8.31+6.37</f>
        <v>22.17</v>
      </c>
      <c r="F65" s="280"/>
      <c r="G65" s="280">
        <v>1.5</v>
      </c>
      <c r="H65" s="256"/>
      <c r="I65" s="257">
        <f t="shared" si="0"/>
        <v>33.255000000000003</v>
      </c>
      <c r="J65" s="244"/>
      <c r="K65" s="282"/>
      <c r="L65" s="282"/>
      <c r="M65" s="283"/>
      <c r="N65" s="283"/>
      <c r="O65" s="283"/>
      <c r="P65" s="283"/>
      <c r="Q65" s="277"/>
      <c r="R65" s="277"/>
      <c r="S65" s="277"/>
      <c r="T65" s="277"/>
      <c r="U65" s="277"/>
      <c r="V65" s="277"/>
    </row>
    <row r="66" spans="1:22" s="278" customFormat="1">
      <c r="A66" s="252"/>
      <c r="B66" s="252"/>
      <c r="C66" s="279" t="s">
        <v>353</v>
      </c>
      <c r="D66" s="37"/>
      <c r="E66" s="280">
        <v>59.64</v>
      </c>
      <c r="F66" s="280"/>
      <c r="G66" s="280">
        <v>1.5</v>
      </c>
      <c r="H66" s="256"/>
      <c r="I66" s="257">
        <f t="shared" si="0"/>
        <v>89.460000000000008</v>
      </c>
      <c r="J66" s="244"/>
      <c r="K66" s="282"/>
      <c r="L66" s="282"/>
      <c r="M66" s="283"/>
      <c r="N66" s="283"/>
      <c r="O66" s="283"/>
      <c r="P66" s="283"/>
      <c r="Q66" s="277"/>
      <c r="R66" s="277"/>
      <c r="S66" s="277"/>
      <c r="T66" s="277"/>
      <c r="U66" s="277"/>
      <c r="V66" s="277"/>
    </row>
    <row r="67" spans="1:22" s="278" customFormat="1">
      <c r="A67" s="252"/>
      <c r="B67" s="252"/>
      <c r="C67" s="279"/>
      <c r="D67" s="37"/>
      <c r="E67" s="280">
        <v>63.74</v>
      </c>
      <c r="F67" s="280"/>
      <c r="G67" s="280">
        <v>1.5</v>
      </c>
      <c r="H67" s="256"/>
      <c r="I67" s="257">
        <f t="shared" si="0"/>
        <v>95.61</v>
      </c>
      <c r="J67" s="244"/>
      <c r="K67" s="282"/>
      <c r="L67" s="282"/>
      <c r="M67" s="283"/>
      <c r="N67" s="283"/>
      <c r="O67" s="283"/>
      <c r="P67" s="283"/>
      <c r="Q67" s="277"/>
      <c r="R67" s="277"/>
      <c r="S67" s="277"/>
      <c r="T67" s="277"/>
      <c r="U67" s="277"/>
      <c r="V67" s="277"/>
    </row>
    <row r="68" spans="1:22" s="278" customFormat="1">
      <c r="A68" s="252"/>
      <c r="B68" s="252"/>
      <c r="C68" s="279"/>
      <c r="D68" s="37"/>
      <c r="E68" s="280">
        <v>19.100000000000001</v>
      </c>
      <c r="F68" s="280"/>
      <c r="G68" s="280">
        <v>1.5</v>
      </c>
      <c r="H68" s="256"/>
      <c r="I68" s="257">
        <f t="shared" si="0"/>
        <v>28.650000000000002</v>
      </c>
      <c r="J68" s="244"/>
      <c r="K68" s="282"/>
      <c r="L68" s="282"/>
      <c r="M68" s="283"/>
      <c r="N68" s="283"/>
      <c r="O68" s="283"/>
      <c r="P68" s="283"/>
      <c r="Q68" s="277"/>
      <c r="R68" s="277"/>
      <c r="S68" s="277"/>
      <c r="T68" s="277"/>
      <c r="U68" s="277"/>
      <c r="V68" s="277"/>
    </row>
    <row r="69" spans="1:22" s="278" customFormat="1">
      <c r="A69" s="252"/>
      <c r="B69" s="252"/>
      <c r="C69" s="279" t="s">
        <v>351</v>
      </c>
      <c r="D69" s="37"/>
      <c r="E69" s="280">
        <f>6.82*4</f>
        <v>27.28</v>
      </c>
      <c r="F69" s="280"/>
      <c r="G69" s="280">
        <v>1.5</v>
      </c>
      <c r="H69" s="256"/>
      <c r="I69" s="257">
        <f t="shared" si="0"/>
        <v>40.92</v>
      </c>
      <c r="J69" s="244"/>
      <c r="K69" s="282"/>
      <c r="L69" s="282"/>
      <c r="M69" s="283"/>
      <c r="N69" s="283"/>
      <c r="O69" s="283"/>
      <c r="P69" s="283"/>
      <c r="Q69" s="277"/>
      <c r="R69" s="277"/>
      <c r="S69" s="277"/>
      <c r="T69" s="277"/>
      <c r="U69" s="277"/>
      <c r="V69" s="277"/>
    </row>
    <row r="70" spans="1:22" s="278" customFormat="1">
      <c r="A70" s="252"/>
      <c r="B70" s="252"/>
      <c r="C70" s="279"/>
      <c r="D70" s="37"/>
      <c r="E70" s="280"/>
      <c r="F70" s="280"/>
      <c r="G70" s="280"/>
      <c r="H70" s="256"/>
      <c r="I70" s="257"/>
      <c r="J70" s="244"/>
      <c r="K70" s="282"/>
      <c r="L70" s="282"/>
      <c r="M70" s="283"/>
      <c r="N70" s="283"/>
      <c r="O70" s="283"/>
      <c r="P70" s="283"/>
      <c r="Q70" s="277"/>
      <c r="R70" s="277"/>
      <c r="S70" s="277"/>
      <c r="T70" s="277"/>
      <c r="U70" s="277"/>
      <c r="V70" s="277"/>
    </row>
    <row r="71" spans="1:22">
      <c r="A71" s="252"/>
      <c r="B71" s="252"/>
      <c r="C71" s="37"/>
      <c r="D71" s="37"/>
      <c r="E71" s="280"/>
      <c r="F71" s="280"/>
      <c r="G71" s="280"/>
      <c r="H71" s="263" t="s">
        <v>253</v>
      </c>
      <c r="I71" s="264">
        <f>SUM(I63:I70)</f>
        <v>369.28500000000003</v>
      </c>
      <c r="J71" s="244"/>
      <c r="K71" s="282"/>
      <c r="L71" s="282"/>
      <c r="M71" s="282"/>
      <c r="N71" s="282"/>
      <c r="O71" s="282"/>
      <c r="P71" s="282"/>
      <c r="Q71" s="247"/>
      <c r="R71" s="247"/>
      <c r="S71" s="247"/>
      <c r="T71" s="247"/>
      <c r="U71" s="247"/>
      <c r="V71" s="247"/>
    </row>
    <row r="72" spans="1:22">
      <c r="A72" s="252"/>
      <c r="B72" s="39"/>
      <c r="C72" s="253"/>
      <c r="D72" s="254"/>
      <c r="E72" s="255"/>
      <c r="F72" s="255"/>
      <c r="G72" s="255"/>
      <c r="H72" s="302"/>
      <c r="I72" s="303"/>
      <c r="J72" s="244"/>
      <c r="K72" s="258"/>
      <c r="L72" s="258"/>
      <c r="M72" s="258"/>
      <c r="N72" s="258"/>
      <c r="O72" s="258"/>
      <c r="P72" s="259"/>
      <c r="Q72" s="247"/>
      <c r="R72" s="247"/>
      <c r="S72" s="247"/>
      <c r="T72" s="247"/>
      <c r="U72" s="247"/>
      <c r="V72" s="247"/>
    </row>
    <row r="73" spans="1:22" ht="25.5">
      <c r="A73" s="252" t="s">
        <v>39</v>
      </c>
      <c r="B73" s="39" t="s">
        <v>19</v>
      </c>
      <c r="C73" s="38" t="str">
        <f>VLOOKUP($B73,SINAPI!$C$6:J5912,2,0)</f>
        <v>LIMPEZA MANUAL DO TERRENO (C/ RASPAGEM SUPERFICIAL)</v>
      </c>
      <c r="D73" s="39" t="str">
        <f>VLOOKUP($B73,SINAPI!$C$6:K5912,3,0)</f>
        <v>M2</v>
      </c>
      <c r="E73" s="250"/>
      <c r="F73" s="250"/>
      <c r="G73" s="250"/>
      <c r="H73" s="251"/>
      <c r="I73" s="250">
        <f>I79</f>
        <v>317.6472</v>
      </c>
      <c r="J73" s="244"/>
      <c r="K73" s="245">
        <f>VLOOKUP($B73,SINAPI!$C$6:R5912,4,0)</f>
        <v>2.8</v>
      </c>
      <c r="L73" s="258"/>
      <c r="M73" s="258"/>
      <c r="N73" s="258"/>
      <c r="O73" s="258"/>
      <c r="P73" s="259"/>
      <c r="Q73" s="247"/>
      <c r="R73" s="247"/>
      <c r="S73" s="247"/>
      <c r="T73" s="247"/>
      <c r="U73" s="247"/>
      <c r="V73" s="247"/>
    </row>
    <row r="74" spans="1:22" s="278" customFormat="1">
      <c r="A74" s="252"/>
      <c r="B74" s="252"/>
      <c r="C74" s="279"/>
      <c r="D74" s="37"/>
      <c r="E74" s="280"/>
      <c r="F74" s="280"/>
      <c r="G74" s="280"/>
      <c r="H74" s="281"/>
      <c r="I74" s="257"/>
      <c r="J74" s="244"/>
      <c r="K74" s="282"/>
      <c r="L74" s="282"/>
      <c r="M74" s="283"/>
      <c r="N74" s="283"/>
      <c r="O74" s="283"/>
      <c r="P74" s="283"/>
      <c r="Q74" s="277"/>
      <c r="R74" s="277"/>
      <c r="S74" s="277"/>
      <c r="T74" s="277"/>
      <c r="U74" s="277"/>
      <c r="V74" s="277"/>
    </row>
    <row r="75" spans="1:22" s="278" customFormat="1">
      <c r="A75" s="252"/>
      <c r="B75" s="252"/>
      <c r="C75" s="279" t="s">
        <v>354</v>
      </c>
      <c r="D75" s="37"/>
      <c r="E75" s="280"/>
      <c r="F75" s="280"/>
      <c r="G75" s="280"/>
      <c r="H75" s="281">
        <v>81.39</v>
      </c>
      <c r="I75" s="257">
        <f>PRODUCT(E75:H75)</f>
        <v>81.39</v>
      </c>
      <c r="J75" s="244"/>
      <c r="K75" s="282"/>
      <c r="L75" s="282"/>
      <c r="M75" s="283"/>
      <c r="N75" s="283"/>
      <c r="O75" s="283"/>
      <c r="P75" s="283"/>
      <c r="Q75" s="277"/>
      <c r="R75" s="277"/>
      <c r="S75" s="277"/>
      <c r="T75" s="277"/>
      <c r="U75" s="277"/>
      <c r="V75" s="277"/>
    </row>
    <row r="76" spans="1:22" s="278" customFormat="1">
      <c r="A76" s="252"/>
      <c r="B76" s="252"/>
      <c r="C76" s="279" t="s">
        <v>355</v>
      </c>
      <c r="D76" s="37"/>
      <c r="E76" s="280"/>
      <c r="F76" s="280"/>
      <c r="G76" s="280"/>
      <c r="H76" s="281">
        <v>166.56</v>
      </c>
      <c r="I76" s="257">
        <f>PRODUCT(E76:H76)</f>
        <v>166.56</v>
      </c>
      <c r="J76" s="244"/>
      <c r="K76" s="282"/>
      <c r="L76" s="282"/>
      <c r="M76" s="283"/>
      <c r="N76" s="283"/>
      <c r="O76" s="283"/>
      <c r="P76" s="283"/>
      <c r="Q76" s="277"/>
      <c r="R76" s="277"/>
      <c r="S76" s="277"/>
      <c r="T76" s="277"/>
      <c r="U76" s="277"/>
      <c r="V76" s="277"/>
    </row>
    <row r="77" spans="1:22" s="278" customFormat="1">
      <c r="A77" s="252"/>
      <c r="B77" s="252"/>
      <c r="C77" s="279" t="s">
        <v>351</v>
      </c>
      <c r="D77" s="37"/>
      <c r="E77" s="280">
        <v>4.82</v>
      </c>
      <c r="F77" s="280">
        <v>4.82</v>
      </c>
      <c r="G77" s="280"/>
      <c r="H77" s="281">
        <v>3</v>
      </c>
      <c r="I77" s="257">
        <f>PRODUCT(E77:H77)</f>
        <v>69.697200000000009</v>
      </c>
      <c r="J77" s="244"/>
      <c r="K77" s="282"/>
      <c r="L77" s="282"/>
      <c r="M77" s="283"/>
      <c r="N77" s="283"/>
      <c r="O77" s="283"/>
      <c r="P77" s="283"/>
      <c r="Q77" s="277"/>
      <c r="R77" s="277"/>
      <c r="S77" s="277"/>
      <c r="T77" s="277"/>
      <c r="U77" s="277"/>
      <c r="V77" s="277"/>
    </row>
    <row r="78" spans="1:22" s="278" customFormat="1">
      <c r="A78" s="252"/>
      <c r="B78" s="252"/>
      <c r="C78" s="279"/>
      <c r="D78" s="37"/>
      <c r="E78" s="280"/>
      <c r="F78" s="280"/>
      <c r="G78" s="280"/>
      <c r="H78" s="281"/>
      <c r="I78" s="257">
        <f>PRODUCT(E78:H78)</f>
        <v>0</v>
      </c>
      <c r="J78" s="244"/>
      <c r="K78" s="282"/>
      <c r="L78" s="282"/>
      <c r="M78" s="283"/>
      <c r="N78" s="283"/>
      <c r="O78" s="283"/>
      <c r="P78" s="283"/>
      <c r="Q78" s="277"/>
      <c r="R78" s="277"/>
      <c r="S78" s="277"/>
      <c r="T78" s="277"/>
      <c r="U78" s="277"/>
      <c r="V78" s="277"/>
    </row>
    <row r="79" spans="1:22" s="278" customFormat="1">
      <c r="A79" s="252"/>
      <c r="B79" s="252"/>
      <c r="C79" s="285"/>
      <c r="D79" s="37"/>
      <c r="E79" s="280"/>
      <c r="F79" s="280"/>
      <c r="G79" s="280"/>
      <c r="H79" s="263" t="s">
        <v>253</v>
      </c>
      <c r="I79" s="264">
        <f>SUM(I75:I78)</f>
        <v>317.6472</v>
      </c>
      <c r="J79" s="244"/>
      <c r="K79" s="282"/>
      <c r="L79" s="282"/>
      <c r="M79" s="283"/>
      <c r="N79" s="283"/>
      <c r="O79" s="283"/>
      <c r="P79" s="283"/>
      <c r="Q79" s="277"/>
      <c r="R79" s="277"/>
      <c r="S79" s="277"/>
      <c r="T79" s="277"/>
      <c r="U79" s="277"/>
      <c r="V79" s="277"/>
    </row>
    <row r="80" spans="1:22">
      <c r="A80" s="252"/>
      <c r="B80" s="39"/>
      <c r="C80" s="253"/>
      <c r="D80" s="254"/>
      <c r="E80" s="255"/>
      <c r="F80" s="255"/>
      <c r="G80" s="255"/>
      <c r="H80" s="255"/>
      <c r="I80" s="255"/>
      <c r="J80" s="244"/>
      <c r="K80" s="258"/>
      <c r="L80" s="258"/>
      <c r="M80" s="258"/>
      <c r="N80" s="258"/>
      <c r="O80" s="258"/>
      <c r="P80" s="259"/>
      <c r="Q80" s="247"/>
      <c r="R80" s="247"/>
      <c r="S80" s="247"/>
      <c r="T80" s="247"/>
      <c r="U80" s="247"/>
      <c r="V80" s="247"/>
    </row>
    <row r="81" spans="1:22">
      <c r="A81" s="269" t="s">
        <v>44</v>
      </c>
      <c r="B81" s="304"/>
      <c r="C81" s="270" t="s">
        <v>279</v>
      </c>
      <c r="D81" s="271"/>
      <c r="E81" s="272"/>
      <c r="F81" s="272"/>
      <c r="G81" s="272"/>
      <c r="H81" s="272"/>
      <c r="I81" s="272"/>
      <c r="J81" s="244"/>
      <c r="K81" s="245"/>
      <c r="L81" s="245"/>
      <c r="M81" s="245"/>
      <c r="N81" s="245"/>
      <c r="O81" s="258"/>
      <c r="P81" s="259"/>
      <c r="Q81" s="247"/>
      <c r="R81" s="247"/>
      <c r="S81" s="247"/>
      <c r="T81" s="247"/>
      <c r="U81" s="247"/>
      <c r="V81" s="247"/>
    </row>
    <row r="82" spans="1:22">
      <c r="A82" s="269"/>
      <c r="B82" s="304"/>
      <c r="C82" s="270"/>
      <c r="D82" s="271"/>
      <c r="E82" s="272"/>
      <c r="F82" s="272"/>
      <c r="G82" s="272"/>
      <c r="H82" s="305"/>
      <c r="I82" s="305"/>
      <c r="J82" s="244"/>
      <c r="K82" s="245"/>
      <c r="L82" s="245"/>
      <c r="M82" s="245"/>
      <c r="N82" s="245"/>
      <c r="O82" s="258"/>
      <c r="P82" s="259"/>
      <c r="Q82" s="247"/>
      <c r="R82" s="247"/>
      <c r="S82" s="247"/>
      <c r="T82" s="247"/>
      <c r="U82" s="247"/>
      <c r="V82" s="247"/>
    </row>
    <row r="83" spans="1:22" ht="25.5">
      <c r="A83" s="252" t="s">
        <v>46</v>
      </c>
      <c r="B83" s="37" t="s">
        <v>47</v>
      </c>
      <c r="C83" s="38" t="str">
        <f>VLOOKUP($B83,SINAPI!$C$6:J5954,2,0)</f>
        <v>DEMOLIÇÃO DE PISO CIMENTADO, INCLUSIVE LASTRO DE CONCRETO</v>
      </c>
      <c r="D83" s="39" t="str">
        <f>VLOOKUP($B83,SINAPI!$C$6:K5954,3,0)</f>
        <v>M2</v>
      </c>
      <c r="E83" s="250"/>
      <c r="F83" s="250"/>
      <c r="G83" s="250"/>
      <c r="H83" s="300"/>
      <c r="I83" s="306">
        <f>I90</f>
        <v>690.94999999999993</v>
      </c>
      <c r="J83" s="244"/>
      <c r="K83" s="245">
        <f>VLOOKUP($B83,SINAPI!$C$6:R5961,4,0)</f>
        <v>16.799999999999997</v>
      </c>
      <c r="L83" s="245"/>
      <c r="M83" s="245"/>
      <c r="N83" s="245"/>
      <c r="O83" s="245"/>
      <c r="P83" s="246">
        <f>SUM(K83:O83)</f>
        <v>16.799999999999997</v>
      </c>
      <c r="Q83" s="247"/>
      <c r="R83" s="247"/>
      <c r="S83" s="247"/>
      <c r="T83" s="247"/>
      <c r="U83" s="247"/>
      <c r="V83" s="247"/>
    </row>
    <row r="84" spans="1:22">
      <c r="A84" s="252"/>
      <c r="B84" s="307"/>
      <c r="C84" s="253"/>
      <c r="D84" s="254"/>
      <c r="E84" s="255"/>
      <c r="F84" s="255"/>
      <c r="G84" s="255"/>
      <c r="H84" s="255"/>
      <c r="I84" s="255"/>
      <c r="J84" s="244"/>
      <c r="K84" s="258"/>
      <c r="L84" s="258"/>
      <c r="M84" s="258"/>
      <c r="N84" s="258"/>
      <c r="O84" s="258"/>
      <c r="P84" s="259"/>
      <c r="Q84" s="247"/>
      <c r="R84" s="247"/>
      <c r="S84" s="247"/>
      <c r="T84" s="247"/>
      <c r="U84" s="247"/>
      <c r="V84" s="247"/>
    </row>
    <row r="85" spans="1:22">
      <c r="A85" s="252"/>
      <c r="B85" s="307"/>
      <c r="C85" s="253" t="s">
        <v>356</v>
      </c>
      <c r="D85" s="254"/>
      <c r="E85" s="255"/>
      <c r="F85" s="255"/>
      <c r="G85" s="255"/>
      <c r="H85" s="308"/>
      <c r="I85" s="255"/>
      <c r="J85" s="244"/>
      <c r="K85" s="258"/>
      <c r="L85" s="258"/>
      <c r="M85" s="258"/>
      <c r="N85" s="258"/>
      <c r="O85" s="258"/>
      <c r="P85" s="259"/>
      <c r="Q85" s="247"/>
      <c r="R85" s="247"/>
      <c r="S85" s="247"/>
      <c r="T85" s="247"/>
      <c r="U85" s="247"/>
      <c r="V85" s="247"/>
    </row>
    <row r="86" spans="1:22">
      <c r="A86" s="252"/>
      <c r="B86" s="39"/>
      <c r="C86" s="253" t="s">
        <v>357</v>
      </c>
      <c r="D86" s="254"/>
      <c r="E86" s="255"/>
      <c r="F86" s="255"/>
      <c r="G86" s="255"/>
      <c r="H86" s="261">
        <v>220.53</v>
      </c>
      <c r="I86" s="250">
        <f>PRODUCT(E86:H86)</f>
        <v>220.53</v>
      </c>
      <c r="J86" s="244"/>
      <c r="K86" s="258"/>
      <c r="L86" s="258"/>
      <c r="M86" s="258"/>
      <c r="N86" s="258"/>
      <c r="O86" s="258"/>
      <c r="P86" s="259"/>
      <c r="Q86" s="247"/>
      <c r="R86" s="247"/>
      <c r="S86" s="247"/>
      <c r="T86" s="247"/>
      <c r="U86" s="247"/>
      <c r="V86" s="247"/>
    </row>
    <row r="87" spans="1:22">
      <c r="A87" s="252"/>
      <c r="B87" s="39"/>
      <c r="C87" s="253" t="s">
        <v>358</v>
      </c>
      <c r="D87" s="254"/>
      <c r="E87" s="255"/>
      <c r="F87" s="255"/>
      <c r="G87" s="255"/>
      <c r="H87" s="261"/>
      <c r="I87" s="250"/>
      <c r="J87" s="244"/>
      <c r="K87" s="258"/>
      <c r="L87" s="258"/>
      <c r="M87" s="258"/>
      <c r="N87" s="258"/>
      <c r="O87" s="258"/>
      <c r="P87" s="259"/>
      <c r="Q87" s="247"/>
      <c r="R87" s="247"/>
      <c r="S87" s="247"/>
      <c r="T87" s="247"/>
      <c r="U87" s="247"/>
      <c r="V87" s="247"/>
    </row>
    <row r="88" spans="1:22">
      <c r="A88" s="252"/>
      <c r="B88" s="39"/>
      <c r="C88" s="253" t="s">
        <v>357</v>
      </c>
      <c r="D88" s="254"/>
      <c r="E88" s="255"/>
      <c r="F88" s="255"/>
      <c r="G88" s="255"/>
      <c r="H88" s="261">
        <v>470.41999999999996</v>
      </c>
      <c r="I88" s="250">
        <f>PRODUCT(E88:H88)</f>
        <v>470.41999999999996</v>
      </c>
      <c r="J88" s="244"/>
      <c r="K88" s="258"/>
      <c r="L88" s="258"/>
      <c r="M88" s="258"/>
      <c r="N88" s="258"/>
      <c r="O88" s="258"/>
      <c r="P88" s="259"/>
      <c r="Q88" s="247"/>
      <c r="R88" s="247"/>
      <c r="S88" s="247"/>
      <c r="T88" s="247"/>
      <c r="U88" s="247"/>
      <c r="V88" s="247"/>
    </row>
    <row r="89" spans="1:22">
      <c r="A89" s="252"/>
      <c r="B89" s="39"/>
      <c r="C89" s="253"/>
      <c r="D89" s="254"/>
      <c r="E89" s="255"/>
      <c r="F89" s="255"/>
      <c r="G89" s="255"/>
      <c r="H89" s="261"/>
      <c r="I89" s="250">
        <f>PRODUCT(E89:H89)</f>
        <v>0</v>
      </c>
      <c r="J89" s="244"/>
      <c r="K89" s="258"/>
      <c r="L89" s="258"/>
      <c r="M89" s="258"/>
      <c r="N89" s="258"/>
      <c r="O89" s="258"/>
      <c r="P89" s="259"/>
      <c r="Q89" s="247"/>
      <c r="R89" s="247"/>
      <c r="S89" s="247"/>
      <c r="T89" s="247"/>
      <c r="U89" s="247"/>
      <c r="V89" s="247"/>
    </row>
    <row r="90" spans="1:22">
      <c r="A90" s="252"/>
      <c r="B90" s="39"/>
      <c r="C90" s="253"/>
      <c r="D90" s="254"/>
      <c r="E90" s="255"/>
      <c r="F90" s="255"/>
      <c r="G90" s="255"/>
      <c r="H90" s="263" t="s">
        <v>253</v>
      </c>
      <c r="I90" s="264">
        <f>SUM(I86:I89)</f>
        <v>690.94999999999993</v>
      </c>
      <c r="J90" s="244"/>
      <c r="K90" s="258"/>
      <c r="L90" s="258"/>
      <c r="M90" s="258"/>
      <c r="N90" s="258"/>
      <c r="O90" s="258"/>
      <c r="P90" s="259"/>
      <c r="Q90" s="247"/>
      <c r="R90" s="247"/>
      <c r="S90" s="247"/>
      <c r="T90" s="247"/>
      <c r="U90" s="247"/>
      <c r="V90" s="247"/>
    </row>
    <row r="91" spans="1:22">
      <c r="A91" s="252"/>
      <c r="B91" s="39"/>
      <c r="C91" s="253"/>
      <c r="D91" s="254"/>
      <c r="E91" s="255"/>
      <c r="F91" s="255"/>
      <c r="G91" s="255"/>
      <c r="H91" s="255"/>
      <c r="I91" s="255"/>
      <c r="J91" s="244"/>
      <c r="K91" s="258"/>
      <c r="L91" s="258"/>
      <c r="M91" s="258"/>
      <c r="N91" s="258"/>
      <c r="O91" s="258"/>
      <c r="P91" s="259"/>
      <c r="Q91" s="247"/>
      <c r="R91" s="247"/>
      <c r="S91" s="247"/>
      <c r="T91" s="247"/>
      <c r="U91" s="247"/>
      <c r="V91" s="247"/>
    </row>
    <row r="92" spans="1:22">
      <c r="A92" s="269" t="s">
        <v>48</v>
      </c>
      <c r="B92" s="304"/>
      <c r="C92" s="270" t="s">
        <v>49</v>
      </c>
      <c r="D92" s="271"/>
      <c r="E92" s="272"/>
      <c r="F92" s="272"/>
      <c r="G92" s="272"/>
      <c r="H92" s="272"/>
      <c r="I92" s="272"/>
      <c r="J92" s="244"/>
      <c r="K92" s="245"/>
      <c r="L92" s="245"/>
      <c r="M92" s="245"/>
      <c r="N92" s="245"/>
      <c r="O92" s="245"/>
      <c r="P92" s="246"/>
      <c r="Q92" s="247"/>
      <c r="R92" s="247"/>
      <c r="S92" s="247"/>
      <c r="T92" s="247"/>
      <c r="U92" s="247"/>
      <c r="V92" s="247"/>
    </row>
    <row r="93" spans="1:22" ht="19.5" customHeight="1">
      <c r="A93" s="252" t="s">
        <v>50</v>
      </c>
      <c r="B93" s="37" t="s">
        <v>51</v>
      </c>
      <c r="C93" s="38" t="str">
        <f>VLOOKUP($B93,SINAPI!$C$6:J5917,2,0)</f>
        <v>ESCAVACAO MANUAL EM SOLO-PROF. ATE 1,50 M</v>
      </c>
      <c r="D93" s="39" t="str">
        <f>VLOOKUP($B93,SINAPI!$C$6:K5917,3,0)</f>
        <v>M3</v>
      </c>
      <c r="E93" s="250"/>
      <c r="F93" s="250"/>
      <c r="G93" s="250"/>
      <c r="H93" s="309"/>
      <c r="I93" s="262">
        <f>I106</f>
        <v>174.92250000000001</v>
      </c>
      <c r="J93" s="244"/>
      <c r="K93" s="245">
        <f>VLOOKUP($B93,SINAPI!$C$6:R6023,4,0)</f>
        <v>22.4</v>
      </c>
      <c r="L93" s="245"/>
      <c r="M93" s="245"/>
      <c r="N93" s="245"/>
      <c r="O93" s="245"/>
      <c r="P93" s="246">
        <f>SUM(K93:O93)</f>
        <v>22.4</v>
      </c>
      <c r="Q93" s="247"/>
      <c r="R93" s="247"/>
      <c r="S93" s="247"/>
      <c r="T93" s="247"/>
      <c r="U93" s="247"/>
      <c r="V93" s="247"/>
    </row>
    <row r="94" spans="1:22" ht="13.5" customHeight="1">
      <c r="A94" s="252"/>
      <c r="B94" s="37"/>
      <c r="C94" s="38"/>
      <c r="D94" s="39"/>
      <c r="E94" s="250"/>
      <c r="F94" s="250"/>
      <c r="G94" s="250"/>
      <c r="H94" s="309"/>
      <c r="I94" s="262"/>
      <c r="J94" s="244"/>
      <c r="K94" s="258"/>
      <c r="L94" s="258"/>
      <c r="M94" s="258"/>
      <c r="N94" s="258"/>
      <c r="O94" s="258"/>
      <c r="P94" s="259"/>
      <c r="Q94" s="247"/>
      <c r="R94" s="247"/>
      <c r="S94" s="247"/>
      <c r="T94" s="247"/>
      <c r="U94" s="247"/>
      <c r="V94" s="247"/>
    </row>
    <row r="95" spans="1:22">
      <c r="A95" s="252"/>
      <c r="B95" s="39"/>
      <c r="C95" s="310" t="s">
        <v>359</v>
      </c>
      <c r="D95" s="254"/>
      <c r="E95" s="257"/>
      <c r="F95" s="257"/>
      <c r="G95" s="257"/>
      <c r="H95" s="257"/>
      <c r="I95" s="257"/>
      <c r="J95" s="244"/>
      <c r="K95" s="258"/>
      <c r="L95" s="258"/>
      <c r="M95" s="258"/>
      <c r="N95" s="258"/>
      <c r="O95" s="258"/>
      <c r="P95" s="259"/>
      <c r="Q95" s="247"/>
      <c r="R95" s="247"/>
      <c r="S95" s="247"/>
      <c r="T95" s="247"/>
      <c r="U95" s="247"/>
      <c r="V95" s="247"/>
    </row>
    <row r="96" spans="1:22">
      <c r="A96" s="252"/>
      <c r="B96" s="39"/>
      <c r="C96" s="310" t="s">
        <v>360</v>
      </c>
      <c r="D96" s="254"/>
      <c r="E96" s="257">
        <f>0.5+1.95+0.5</f>
        <v>2.95</v>
      </c>
      <c r="F96" s="257">
        <f>0.5+1.75+0.5</f>
        <v>2.75</v>
      </c>
      <c r="G96" s="257">
        <v>1.5</v>
      </c>
      <c r="H96" s="257"/>
      <c r="I96" s="262">
        <f>PRODUCT(E96:H96)</f>
        <v>12.168750000000001</v>
      </c>
      <c r="J96" s="244"/>
      <c r="K96" s="258"/>
      <c r="L96" s="258"/>
      <c r="M96" s="258"/>
      <c r="N96" s="258"/>
      <c r="O96" s="258"/>
      <c r="P96" s="259"/>
      <c r="Q96" s="247"/>
      <c r="R96" s="247"/>
      <c r="S96" s="247"/>
      <c r="T96" s="247"/>
      <c r="U96" s="247"/>
      <c r="V96" s="247"/>
    </row>
    <row r="97" spans="1:22">
      <c r="A97" s="252"/>
      <c r="B97" s="39"/>
      <c r="C97" s="310" t="s">
        <v>361</v>
      </c>
      <c r="D97" s="254"/>
      <c r="E97" s="257">
        <f>0.5+4.55+0.5</f>
        <v>5.55</v>
      </c>
      <c r="F97" s="257">
        <f>0.5+2.95+0.5</f>
        <v>3.95</v>
      </c>
      <c r="G97" s="257">
        <v>1.5</v>
      </c>
      <c r="H97" s="257"/>
      <c r="I97" s="262">
        <f>PRODUCT(E97:H97)</f>
        <v>32.883749999999999</v>
      </c>
      <c r="J97" s="244"/>
      <c r="K97" s="258"/>
      <c r="L97" s="258"/>
      <c r="M97" s="258"/>
      <c r="N97" s="258"/>
      <c r="O97" s="258"/>
      <c r="P97" s="259"/>
      <c r="Q97" s="247"/>
      <c r="R97" s="247"/>
      <c r="S97" s="247"/>
      <c r="T97" s="247"/>
      <c r="U97" s="247"/>
      <c r="V97" s="247"/>
    </row>
    <row r="98" spans="1:22">
      <c r="A98" s="252"/>
      <c r="B98" s="39"/>
      <c r="C98" s="310" t="s">
        <v>362</v>
      </c>
      <c r="D98" s="254"/>
      <c r="E98" s="257">
        <f>0.5+1.95+0.5</f>
        <v>2.95</v>
      </c>
      <c r="F98" s="257">
        <f>0.5+1.75+0.5</f>
        <v>2.75</v>
      </c>
      <c r="G98" s="257">
        <v>1.5</v>
      </c>
      <c r="H98" s="257"/>
      <c r="I98" s="262">
        <f>PRODUCT(E98:H98)</f>
        <v>12.168750000000001</v>
      </c>
      <c r="J98" s="244"/>
      <c r="K98" s="258"/>
      <c r="L98" s="258"/>
      <c r="M98" s="258"/>
      <c r="N98" s="258"/>
      <c r="O98" s="258"/>
      <c r="P98" s="259"/>
      <c r="Q98" s="247"/>
      <c r="R98" s="247"/>
      <c r="S98" s="247"/>
      <c r="T98" s="247"/>
      <c r="U98" s="247"/>
      <c r="V98" s="247"/>
    </row>
    <row r="99" spans="1:22">
      <c r="A99" s="252"/>
      <c r="B99" s="39"/>
      <c r="C99" s="310" t="s">
        <v>363</v>
      </c>
      <c r="D99" s="254"/>
      <c r="E99" s="257"/>
      <c r="F99" s="257"/>
      <c r="G99" s="257"/>
      <c r="H99" s="257"/>
      <c r="I99" s="257"/>
      <c r="J99" s="244"/>
      <c r="K99" s="258"/>
      <c r="L99" s="258"/>
      <c r="M99" s="258"/>
      <c r="N99" s="258"/>
      <c r="O99" s="258"/>
      <c r="P99" s="259"/>
      <c r="Q99" s="247"/>
      <c r="R99" s="247"/>
      <c r="S99" s="247"/>
      <c r="T99" s="247"/>
      <c r="U99" s="247"/>
      <c r="V99" s="247"/>
    </row>
    <row r="100" spans="1:22">
      <c r="A100" s="252"/>
      <c r="B100" s="39"/>
      <c r="C100" s="310" t="s">
        <v>360</v>
      </c>
      <c r="D100" s="254"/>
      <c r="E100" s="257">
        <f>0.5+1.95+0.5</f>
        <v>2.95</v>
      </c>
      <c r="F100" s="257">
        <f>0.5+1.75+0.5</f>
        <v>2.75</v>
      </c>
      <c r="G100" s="257">
        <v>1.5</v>
      </c>
      <c r="H100" s="257"/>
      <c r="I100" s="262">
        <f>PRODUCT(E100:H100)</f>
        <v>12.168750000000001</v>
      </c>
      <c r="J100" s="244"/>
      <c r="K100" s="258"/>
      <c r="L100" s="258"/>
      <c r="M100" s="258"/>
      <c r="N100" s="258"/>
      <c r="O100" s="258"/>
      <c r="P100" s="259"/>
      <c r="Q100" s="247"/>
      <c r="R100" s="247"/>
      <c r="S100" s="247"/>
      <c r="T100" s="247"/>
      <c r="U100" s="247"/>
      <c r="V100" s="247"/>
    </row>
    <row r="101" spans="1:22">
      <c r="A101" s="252"/>
      <c r="B101" s="39"/>
      <c r="C101" s="310" t="s">
        <v>361</v>
      </c>
      <c r="D101" s="254"/>
      <c r="E101" s="257">
        <f>0.5+4.55+0.5</f>
        <v>5.55</v>
      </c>
      <c r="F101" s="257">
        <f>0.5+2.95+0.5</f>
        <v>3.95</v>
      </c>
      <c r="G101" s="257">
        <v>1.5</v>
      </c>
      <c r="H101" s="257"/>
      <c r="I101" s="262">
        <f>PRODUCT(E101:H101)</f>
        <v>32.883749999999999</v>
      </c>
      <c r="J101" s="244"/>
      <c r="K101" s="258"/>
      <c r="L101" s="258"/>
      <c r="M101" s="258"/>
      <c r="N101" s="258"/>
      <c r="O101" s="258"/>
      <c r="P101" s="259"/>
      <c r="Q101" s="247"/>
      <c r="R101" s="247"/>
      <c r="S101" s="247"/>
      <c r="T101" s="247"/>
      <c r="U101" s="247"/>
      <c r="V101" s="247"/>
    </row>
    <row r="102" spans="1:22">
      <c r="A102" s="252"/>
      <c r="B102" s="39"/>
      <c r="C102" s="310" t="s">
        <v>362</v>
      </c>
      <c r="D102" s="254"/>
      <c r="E102" s="257">
        <f>0.5+1.95+0.5</f>
        <v>2.95</v>
      </c>
      <c r="F102" s="257">
        <f>0.5+1.75+0.5</f>
        <v>2.75</v>
      </c>
      <c r="G102" s="257">
        <v>1.5</v>
      </c>
      <c r="H102" s="257"/>
      <c r="I102" s="262">
        <f>PRODUCT(E102:H102)</f>
        <v>12.168750000000001</v>
      </c>
      <c r="J102" s="244"/>
      <c r="K102" s="258"/>
      <c r="L102" s="258"/>
      <c r="M102" s="258"/>
      <c r="N102" s="258"/>
      <c r="O102" s="258"/>
      <c r="P102" s="259"/>
      <c r="Q102" s="247"/>
      <c r="R102" s="247"/>
      <c r="S102" s="247"/>
      <c r="T102" s="247"/>
      <c r="U102" s="247"/>
      <c r="V102" s="247"/>
    </row>
    <row r="103" spans="1:22">
      <c r="A103" s="252"/>
      <c r="B103" s="39"/>
      <c r="C103" s="310" t="s">
        <v>364</v>
      </c>
      <c r="D103" s="254"/>
      <c r="E103" s="257"/>
      <c r="F103" s="257"/>
      <c r="G103" s="257"/>
      <c r="H103" s="257"/>
      <c r="I103" s="257"/>
      <c r="J103" s="244"/>
      <c r="K103" s="258"/>
      <c r="L103" s="258"/>
      <c r="M103" s="258"/>
      <c r="N103" s="258"/>
      <c r="O103" s="258"/>
      <c r="P103" s="259"/>
      <c r="Q103" s="247"/>
      <c r="R103" s="247"/>
      <c r="S103" s="247"/>
      <c r="T103" s="247"/>
      <c r="U103" s="247"/>
      <c r="V103" s="247"/>
    </row>
    <row r="104" spans="1:22">
      <c r="A104" s="252"/>
      <c r="B104" s="39"/>
      <c r="C104" s="310" t="s">
        <v>361</v>
      </c>
      <c r="D104" s="254"/>
      <c r="E104" s="257">
        <f>0.5+3.2+0.5</f>
        <v>4.2</v>
      </c>
      <c r="F104" s="257">
        <f>0.5+2.2+0.5</f>
        <v>3.2</v>
      </c>
      <c r="G104" s="257">
        <v>1.5</v>
      </c>
      <c r="H104" s="257">
        <v>3</v>
      </c>
      <c r="I104" s="262">
        <f>PRODUCT(E104:H104)</f>
        <v>60.480000000000011</v>
      </c>
      <c r="J104" s="244"/>
      <c r="K104" s="258"/>
      <c r="L104" s="258"/>
      <c r="M104" s="258"/>
      <c r="N104" s="258"/>
      <c r="O104" s="258"/>
      <c r="P104" s="259"/>
      <c r="Q104" s="247"/>
      <c r="R104" s="247"/>
      <c r="S104" s="247"/>
      <c r="T104" s="247"/>
      <c r="U104" s="247"/>
      <c r="V104" s="247"/>
    </row>
    <row r="105" spans="1:22">
      <c r="A105" s="252"/>
      <c r="B105" s="39"/>
      <c r="C105" s="310"/>
      <c r="D105" s="254"/>
      <c r="E105" s="311"/>
      <c r="F105" s="257"/>
      <c r="G105" s="257"/>
      <c r="H105" s="312"/>
      <c r="I105" s="262"/>
      <c r="J105" s="244"/>
      <c r="K105" s="258"/>
      <c r="L105" s="258"/>
      <c r="M105" s="258"/>
      <c r="N105" s="258"/>
      <c r="O105" s="258"/>
      <c r="P105" s="259"/>
      <c r="Q105" s="247"/>
      <c r="R105" s="247"/>
      <c r="S105" s="247"/>
      <c r="T105" s="247"/>
      <c r="U105" s="247"/>
      <c r="V105" s="247"/>
    </row>
    <row r="106" spans="1:22">
      <c r="A106" s="252"/>
      <c r="B106" s="39"/>
      <c r="C106" s="38"/>
      <c r="D106" s="254"/>
      <c r="E106" s="257"/>
      <c r="F106" s="257"/>
      <c r="G106" s="257"/>
      <c r="H106" s="263" t="s">
        <v>253</v>
      </c>
      <c r="I106" s="264">
        <f>SUM(I96:I105)</f>
        <v>174.92250000000001</v>
      </c>
      <c r="J106" s="244"/>
      <c r="K106" s="258"/>
      <c r="L106" s="258"/>
      <c r="M106" s="258"/>
      <c r="N106" s="258"/>
      <c r="O106" s="258"/>
      <c r="P106" s="259"/>
      <c r="Q106" s="247"/>
      <c r="R106" s="247"/>
      <c r="S106" s="247"/>
      <c r="T106" s="247"/>
      <c r="U106" s="247"/>
      <c r="V106" s="247"/>
    </row>
    <row r="107" spans="1:22">
      <c r="A107" s="252"/>
      <c r="B107" s="39"/>
      <c r="C107" s="38"/>
      <c r="D107" s="254"/>
      <c r="E107" s="257"/>
      <c r="F107" s="257"/>
      <c r="G107" s="257"/>
      <c r="H107" s="297"/>
      <c r="I107" s="298"/>
      <c r="J107" s="244"/>
      <c r="K107" s="258"/>
      <c r="L107" s="258"/>
      <c r="M107" s="258"/>
      <c r="N107" s="258"/>
      <c r="O107" s="258"/>
      <c r="P107" s="259"/>
      <c r="Q107" s="247"/>
      <c r="R107" s="247"/>
      <c r="S107" s="247"/>
      <c r="T107" s="247"/>
      <c r="U107" s="247"/>
      <c r="V107" s="247"/>
    </row>
    <row r="108" spans="1:22" ht="30" customHeight="1">
      <c r="A108" s="252" t="s">
        <v>54</v>
      </c>
      <c r="B108" s="37" t="s">
        <v>55</v>
      </c>
      <c r="C108" s="38" t="str">
        <f>VLOOKUP($B108,SINAPI!$C$6:J5970,2,0)</f>
        <v>ESCAVACAO MANUAL EM SOLO, PROF. MAIOR QUE 1,5M ATE 4,00 M</v>
      </c>
      <c r="D108" s="39" t="str">
        <f>VLOOKUP($B108,SINAPI!$C$6:K5970,3,0)</f>
        <v>M3</v>
      </c>
      <c r="E108" s="250"/>
      <c r="F108" s="250"/>
      <c r="G108" s="250"/>
      <c r="H108" s="309"/>
      <c r="I108" s="262">
        <f>I121</f>
        <v>64.138249999999999</v>
      </c>
      <c r="J108" s="244"/>
      <c r="K108" s="245">
        <f>VLOOKUP($B108,SINAPI!$C$6:R6076,4,0)</f>
        <v>35.840000000000003</v>
      </c>
      <c r="L108" s="245"/>
      <c r="M108" s="245"/>
      <c r="N108" s="245"/>
      <c r="O108" s="245"/>
      <c r="P108" s="246">
        <f>SUM(K108:O108)</f>
        <v>35.840000000000003</v>
      </c>
      <c r="Q108" s="247"/>
      <c r="R108" s="247"/>
      <c r="S108" s="247"/>
      <c r="T108" s="247"/>
      <c r="U108" s="247"/>
      <c r="V108" s="247"/>
    </row>
    <row r="109" spans="1:22">
      <c r="A109" s="252"/>
      <c r="B109" s="37"/>
      <c r="C109" s="38"/>
      <c r="D109" s="39"/>
      <c r="E109" s="250"/>
      <c r="F109" s="250"/>
      <c r="G109" s="250"/>
      <c r="H109" s="309"/>
      <c r="I109" s="262"/>
      <c r="J109" s="244"/>
      <c r="K109" s="258"/>
      <c r="L109" s="258"/>
      <c r="M109" s="258"/>
      <c r="N109" s="258"/>
      <c r="O109" s="258"/>
      <c r="P109" s="259"/>
      <c r="Q109" s="247"/>
      <c r="R109" s="247"/>
      <c r="S109" s="247"/>
      <c r="T109" s="247"/>
      <c r="U109" s="247"/>
      <c r="V109" s="247"/>
    </row>
    <row r="110" spans="1:22">
      <c r="A110" s="252"/>
      <c r="B110" s="37"/>
      <c r="C110" s="310" t="s">
        <v>359</v>
      </c>
      <c r="D110" s="39"/>
      <c r="E110" s="250"/>
      <c r="F110" s="250"/>
      <c r="G110" s="250"/>
      <c r="H110" s="309"/>
      <c r="I110" s="262"/>
      <c r="J110" s="244"/>
      <c r="K110" s="258"/>
      <c r="L110" s="258"/>
      <c r="M110" s="258"/>
      <c r="N110" s="258"/>
      <c r="O110" s="258"/>
      <c r="P110" s="259"/>
      <c r="Q110" s="247"/>
      <c r="R110" s="247"/>
      <c r="S110" s="247"/>
      <c r="T110" s="247"/>
      <c r="U110" s="247"/>
      <c r="V110" s="247"/>
    </row>
    <row r="111" spans="1:22">
      <c r="A111" s="252"/>
      <c r="B111" s="39"/>
      <c r="C111" s="310" t="s">
        <v>360</v>
      </c>
      <c r="D111" s="254"/>
      <c r="E111" s="257">
        <f>0.5+1.95+0.5</f>
        <v>2.95</v>
      </c>
      <c r="F111" s="257">
        <f>0.5+1.75+0.5</f>
        <v>2.75</v>
      </c>
      <c r="G111" s="257">
        <v>0.55000000000000004</v>
      </c>
      <c r="H111" s="309"/>
      <c r="I111" s="262">
        <f>PRODUCT(E111:H111)</f>
        <v>4.4618750000000009</v>
      </c>
      <c r="J111" s="244"/>
      <c r="K111" s="258"/>
      <c r="L111" s="258"/>
      <c r="M111" s="258"/>
      <c r="N111" s="258"/>
      <c r="O111" s="258"/>
      <c r="P111" s="259"/>
      <c r="Q111" s="247"/>
      <c r="R111" s="247"/>
      <c r="S111" s="247"/>
      <c r="T111" s="247"/>
      <c r="U111" s="247"/>
      <c r="V111" s="247"/>
    </row>
    <row r="112" spans="1:22">
      <c r="A112" s="252"/>
      <c r="B112" s="39"/>
      <c r="C112" s="310" t="s">
        <v>361</v>
      </c>
      <c r="D112" s="254"/>
      <c r="E112" s="257">
        <f>0.5+4.55+0.5</f>
        <v>5.55</v>
      </c>
      <c r="F112" s="257">
        <f>0.5+2.95+0.5</f>
        <v>3.95</v>
      </c>
      <c r="G112" s="257">
        <v>0.55000000000000004</v>
      </c>
      <c r="H112" s="309"/>
      <c r="I112" s="262">
        <f>PRODUCT(E112:H112)</f>
        <v>12.057375</v>
      </c>
      <c r="J112" s="244"/>
      <c r="K112" s="258"/>
      <c r="L112" s="258"/>
      <c r="M112" s="258"/>
      <c r="N112" s="258"/>
      <c r="O112" s="258"/>
      <c r="P112" s="259"/>
      <c r="Q112" s="247"/>
      <c r="R112" s="247"/>
      <c r="S112" s="247"/>
      <c r="T112" s="247"/>
      <c r="U112" s="247"/>
      <c r="V112" s="247"/>
    </row>
    <row r="113" spans="1:22">
      <c r="A113" s="252"/>
      <c r="B113" s="39"/>
      <c r="C113" s="310" t="s">
        <v>362</v>
      </c>
      <c r="D113" s="254"/>
      <c r="E113" s="257">
        <f>0.5+1.95+0.5</f>
        <v>2.95</v>
      </c>
      <c r="F113" s="257">
        <f>0.5+1.75+0.5</f>
        <v>2.75</v>
      </c>
      <c r="G113" s="257">
        <v>0.55000000000000004</v>
      </c>
      <c r="H113" s="309"/>
      <c r="I113" s="262">
        <f>PRODUCT(E113:H113)</f>
        <v>4.4618750000000009</v>
      </c>
      <c r="J113" s="244"/>
      <c r="K113" s="258"/>
      <c r="L113" s="258"/>
      <c r="M113" s="258"/>
      <c r="N113" s="258"/>
      <c r="O113" s="258"/>
      <c r="P113" s="259"/>
      <c r="Q113" s="247"/>
      <c r="R113" s="247"/>
      <c r="S113" s="247"/>
      <c r="T113" s="247"/>
      <c r="U113" s="247"/>
      <c r="V113" s="247"/>
    </row>
    <row r="114" spans="1:22">
      <c r="A114" s="252"/>
      <c r="B114" s="39"/>
      <c r="C114" s="310" t="s">
        <v>363</v>
      </c>
      <c r="D114" s="254"/>
      <c r="E114" s="257"/>
      <c r="F114" s="257"/>
      <c r="G114" s="257"/>
      <c r="H114" s="257"/>
      <c r="I114" s="257"/>
      <c r="J114" s="244"/>
      <c r="K114" s="258"/>
      <c r="L114" s="258"/>
      <c r="M114" s="258"/>
      <c r="N114" s="258"/>
      <c r="O114" s="258"/>
      <c r="P114" s="259"/>
      <c r="Q114" s="247"/>
      <c r="R114" s="247"/>
      <c r="S114" s="247"/>
      <c r="T114" s="247"/>
      <c r="U114" s="247"/>
      <c r="V114" s="247"/>
    </row>
    <row r="115" spans="1:22">
      <c r="A115" s="252"/>
      <c r="B115" s="39"/>
      <c r="C115" s="310" t="s">
        <v>360</v>
      </c>
      <c r="D115" s="254"/>
      <c r="E115" s="257">
        <f>0.5+1.95+0.5</f>
        <v>2.95</v>
      </c>
      <c r="F115" s="257">
        <f>0.5+1.75+0.5</f>
        <v>2.75</v>
      </c>
      <c r="G115" s="257">
        <v>0.55000000000000004</v>
      </c>
      <c r="H115" s="257"/>
      <c r="I115" s="262">
        <f>PRODUCT(E115:H115)</f>
        <v>4.4618750000000009</v>
      </c>
      <c r="J115" s="244"/>
      <c r="K115" s="258"/>
      <c r="L115" s="258"/>
      <c r="M115" s="258"/>
      <c r="N115" s="258"/>
      <c r="O115" s="258"/>
      <c r="P115" s="259"/>
      <c r="Q115" s="247"/>
      <c r="R115" s="247"/>
      <c r="S115" s="247"/>
      <c r="T115" s="247"/>
      <c r="U115" s="247"/>
      <c r="V115" s="247"/>
    </row>
    <row r="116" spans="1:22">
      <c r="A116" s="252"/>
      <c r="B116" s="39"/>
      <c r="C116" s="310" t="s">
        <v>361</v>
      </c>
      <c r="D116" s="254"/>
      <c r="E116" s="257">
        <f>0.5+4.55+0.5</f>
        <v>5.55</v>
      </c>
      <c r="F116" s="257">
        <f>0.5+2.95+0.5</f>
        <v>3.95</v>
      </c>
      <c r="G116" s="257">
        <v>0.55000000000000004</v>
      </c>
      <c r="H116" s="257"/>
      <c r="I116" s="262">
        <f>PRODUCT(E116:H116)</f>
        <v>12.057375</v>
      </c>
      <c r="J116" s="244"/>
      <c r="K116" s="258"/>
      <c r="L116" s="258"/>
      <c r="M116" s="258"/>
      <c r="N116" s="258"/>
      <c r="O116" s="258"/>
      <c r="P116" s="259"/>
      <c r="Q116" s="247"/>
      <c r="R116" s="247"/>
      <c r="S116" s="247"/>
      <c r="T116" s="247"/>
      <c r="U116" s="247"/>
      <c r="V116" s="247"/>
    </row>
    <row r="117" spans="1:22">
      <c r="A117" s="252"/>
      <c r="B117" s="39"/>
      <c r="C117" s="310" t="s">
        <v>362</v>
      </c>
      <c r="D117" s="254"/>
      <c r="E117" s="257">
        <f>0.5+1.95+0.5</f>
        <v>2.95</v>
      </c>
      <c r="F117" s="257">
        <f>0.5+1.75+0.5</f>
        <v>2.75</v>
      </c>
      <c r="G117" s="257">
        <v>0.55000000000000004</v>
      </c>
      <c r="H117" s="257"/>
      <c r="I117" s="262">
        <f>PRODUCT(E117:H117)</f>
        <v>4.4618750000000009</v>
      </c>
      <c r="J117" s="244"/>
      <c r="K117" s="258"/>
      <c r="L117" s="258"/>
      <c r="M117" s="258"/>
      <c r="N117" s="258"/>
      <c r="O117" s="258"/>
      <c r="P117" s="259"/>
      <c r="Q117" s="247"/>
      <c r="R117" s="247"/>
      <c r="S117" s="247"/>
      <c r="T117" s="247"/>
      <c r="U117" s="247"/>
      <c r="V117" s="247"/>
    </row>
    <row r="118" spans="1:22">
      <c r="A118" s="252"/>
      <c r="B118" s="39"/>
      <c r="C118" s="310" t="s">
        <v>365</v>
      </c>
      <c r="D118" s="254"/>
      <c r="E118" s="257"/>
      <c r="F118" s="257"/>
      <c r="G118" s="257"/>
      <c r="H118" s="257"/>
      <c r="I118" s="257"/>
      <c r="J118" s="244"/>
      <c r="K118" s="258"/>
      <c r="L118" s="258"/>
      <c r="M118" s="258"/>
      <c r="N118" s="258"/>
      <c r="O118" s="258"/>
      <c r="P118" s="259"/>
      <c r="Q118" s="247"/>
      <c r="R118" s="247"/>
      <c r="S118" s="247"/>
      <c r="T118" s="247"/>
      <c r="U118" s="247"/>
      <c r="V118" s="247"/>
    </row>
    <row r="119" spans="1:22">
      <c r="A119" s="252"/>
      <c r="B119" s="39"/>
      <c r="C119" s="310" t="s">
        <v>361</v>
      </c>
      <c r="D119" s="254"/>
      <c r="E119" s="257">
        <f>0.5+3.2+0.5</f>
        <v>4.2</v>
      </c>
      <c r="F119" s="257">
        <f>0.5+2.2+0.5</f>
        <v>3.2</v>
      </c>
      <c r="G119" s="257">
        <v>0.55000000000000004</v>
      </c>
      <c r="H119" s="257">
        <v>3</v>
      </c>
      <c r="I119" s="262">
        <f>PRODUCT(E119:H119)</f>
        <v>22.176000000000002</v>
      </c>
      <c r="J119" s="244"/>
      <c r="K119" s="258"/>
      <c r="L119" s="258"/>
      <c r="M119" s="258"/>
      <c r="N119" s="258"/>
      <c r="O119" s="258"/>
      <c r="P119" s="259"/>
      <c r="Q119" s="247"/>
      <c r="R119" s="247"/>
      <c r="S119" s="247"/>
      <c r="T119" s="247"/>
      <c r="U119" s="247"/>
      <c r="V119" s="247"/>
    </row>
    <row r="120" spans="1:22">
      <c r="A120" s="252"/>
      <c r="B120" s="39"/>
      <c r="C120" s="310"/>
      <c r="D120" s="254"/>
      <c r="E120" s="311"/>
      <c r="F120" s="257"/>
      <c r="G120" s="257"/>
      <c r="H120" s="309"/>
      <c r="I120" s="262"/>
      <c r="J120" s="244"/>
      <c r="K120" s="258"/>
      <c r="L120" s="258"/>
      <c r="M120" s="258"/>
      <c r="N120" s="258"/>
      <c r="O120" s="258"/>
      <c r="P120" s="259"/>
      <c r="Q120" s="247"/>
      <c r="R120" s="247"/>
      <c r="S120" s="247"/>
      <c r="T120" s="247"/>
      <c r="U120" s="247"/>
      <c r="V120" s="247"/>
    </row>
    <row r="121" spans="1:22">
      <c r="A121" s="252"/>
      <c r="B121" s="39"/>
      <c r="C121" s="310"/>
      <c r="D121" s="254"/>
      <c r="E121" s="257"/>
      <c r="F121" s="257"/>
      <c r="G121" s="257"/>
      <c r="H121" s="263" t="s">
        <v>253</v>
      </c>
      <c r="I121" s="264">
        <f>SUM(I111:I120)</f>
        <v>64.138249999999999</v>
      </c>
      <c r="J121" s="244"/>
      <c r="K121" s="258"/>
      <c r="L121" s="258"/>
      <c r="M121" s="258"/>
      <c r="N121" s="258"/>
      <c r="O121" s="258"/>
      <c r="P121" s="259"/>
      <c r="Q121" s="247"/>
      <c r="R121" s="247"/>
      <c r="S121" s="247"/>
      <c r="T121" s="247"/>
      <c r="U121" s="247"/>
      <c r="V121" s="247"/>
    </row>
    <row r="122" spans="1:22">
      <c r="A122" s="252"/>
      <c r="B122" s="39"/>
      <c r="C122" s="310"/>
      <c r="D122" s="254"/>
      <c r="E122" s="257"/>
      <c r="F122" s="257"/>
      <c r="G122" s="257"/>
      <c r="H122" s="257"/>
      <c r="I122" s="262"/>
      <c r="J122" s="244"/>
      <c r="K122" s="258"/>
      <c r="L122" s="258"/>
      <c r="M122" s="258"/>
      <c r="N122" s="258"/>
      <c r="O122" s="258"/>
      <c r="P122" s="259"/>
      <c r="Q122" s="247"/>
      <c r="R122" s="247"/>
      <c r="S122" s="247"/>
      <c r="T122" s="247"/>
      <c r="U122" s="247"/>
      <c r="V122" s="247"/>
    </row>
    <row r="123" spans="1:22" ht="31.5" customHeight="1">
      <c r="A123" s="252" t="s">
        <v>57</v>
      </c>
      <c r="B123" s="37" t="s">
        <v>58</v>
      </c>
      <c r="C123" s="38" t="str">
        <f>VLOOKUP($B123,SINAPI!$C$6:J6089,2,0)</f>
        <v>REATERRO DE VALAS / CAVAS, COMPACTADA A MAÇO, EM CAMADAS DE ATÉ 30 CM.</v>
      </c>
      <c r="D123" s="39" t="str">
        <f>VLOOKUP($B123,SINAPI!$C$6:K6089,3,0)</f>
        <v>M3</v>
      </c>
      <c r="E123" s="257"/>
      <c r="F123" s="257"/>
      <c r="G123" s="257"/>
      <c r="H123" s="257"/>
      <c r="I123" s="274">
        <f>I130</f>
        <v>197.63000000000002</v>
      </c>
      <c r="J123" s="244"/>
      <c r="K123" s="245">
        <f>VLOOKUP($B123,SINAPI!$C$6:R6089,4,0)</f>
        <v>23.52</v>
      </c>
      <c r="L123" s="245"/>
      <c r="M123" s="245"/>
      <c r="N123" s="245"/>
      <c r="O123" s="245"/>
      <c r="P123" s="246">
        <f>SUM(K123:O123)</f>
        <v>23.52</v>
      </c>
      <c r="Q123" s="247"/>
      <c r="R123" s="247"/>
      <c r="S123" s="247"/>
      <c r="T123" s="247"/>
      <c r="U123" s="247"/>
      <c r="V123" s="247"/>
    </row>
    <row r="124" spans="1:22">
      <c r="A124" s="252"/>
      <c r="B124" s="39"/>
      <c r="C124" s="38"/>
      <c r="D124" s="254"/>
      <c r="E124" s="257"/>
      <c r="F124" s="257"/>
      <c r="G124" s="257"/>
      <c r="H124" s="257"/>
      <c r="I124" s="257">
        <f>PRODUCT(E124:H124)</f>
        <v>0</v>
      </c>
      <c r="J124" s="244"/>
      <c r="K124" s="258"/>
      <c r="L124" s="258"/>
      <c r="M124" s="258"/>
      <c r="N124" s="258"/>
      <c r="O124" s="258"/>
      <c r="P124" s="259"/>
      <c r="Q124" s="247"/>
      <c r="R124" s="247"/>
      <c r="S124" s="247"/>
      <c r="T124" s="247"/>
      <c r="U124" s="247"/>
      <c r="V124" s="247"/>
    </row>
    <row r="125" spans="1:22">
      <c r="A125" s="252"/>
      <c r="B125" s="39"/>
      <c r="C125" s="38" t="s">
        <v>366</v>
      </c>
      <c r="D125" s="254"/>
      <c r="E125" s="257"/>
      <c r="F125" s="257"/>
      <c r="G125" s="257"/>
      <c r="H125" s="257">
        <f>I106+I121</f>
        <v>239.06075000000001</v>
      </c>
      <c r="I125" s="257">
        <f>PRODUCT(E125:H125)</f>
        <v>239.06075000000001</v>
      </c>
      <c r="J125" s="244"/>
      <c r="K125" s="258"/>
      <c r="L125" s="258"/>
      <c r="M125" s="258"/>
      <c r="N125" s="258"/>
      <c r="O125" s="258"/>
      <c r="P125" s="259"/>
      <c r="Q125" s="247"/>
      <c r="R125" s="247"/>
      <c r="S125" s="247"/>
      <c r="T125" s="247"/>
      <c r="U125" s="247"/>
      <c r="V125" s="247"/>
    </row>
    <row r="126" spans="1:22">
      <c r="A126" s="252"/>
      <c r="B126" s="39"/>
      <c r="C126" s="38" t="s">
        <v>367</v>
      </c>
      <c r="D126" s="254"/>
      <c r="E126" s="257"/>
      <c r="F126" s="257"/>
      <c r="G126" s="257"/>
      <c r="H126" s="257"/>
      <c r="I126" s="257"/>
      <c r="J126" s="244"/>
      <c r="K126" s="258"/>
      <c r="L126" s="258"/>
      <c r="M126" s="258"/>
      <c r="N126" s="258"/>
      <c r="O126" s="258"/>
      <c r="P126" s="259"/>
      <c r="Q126" s="247"/>
      <c r="R126" s="247"/>
      <c r="S126" s="247"/>
      <c r="T126" s="247"/>
      <c r="U126" s="247"/>
      <c r="V126" s="247"/>
    </row>
    <row r="127" spans="1:22">
      <c r="A127" s="252"/>
      <c r="B127" s="39"/>
      <c r="C127" s="38" t="s">
        <v>368</v>
      </c>
      <c r="D127" s="313" t="s">
        <v>53</v>
      </c>
      <c r="E127" s="262"/>
      <c r="F127" s="262"/>
      <c r="G127" s="262"/>
      <c r="H127" s="314">
        <f>-I191</f>
        <v>-5.830750000000001</v>
      </c>
      <c r="I127" s="315">
        <f>PRODUCT(E127:H127)</f>
        <v>-5.830750000000001</v>
      </c>
      <c r="J127" s="244"/>
      <c r="K127" s="258"/>
      <c r="L127" s="258"/>
      <c r="M127" s="258"/>
      <c r="N127" s="258"/>
      <c r="O127" s="258"/>
      <c r="P127" s="259"/>
      <c r="Q127" s="247"/>
      <c r="R127" s="247"/>
      <c r="S127" s="247"/>
      <c r="T127" s="247"/>
      <c r="U127" s="247"/>
      <c r="V127" s="247"/>
    </row>
    <row r="128" spans="1:22" ht="25.5">
      <c r="A128" s="252"/>
      <c r="B128" s="39"/>
      <c r="C128" s="38" t="s">
        <v>369</v>
      </c>
      <c r="D128" s="313" t="s">
        <v>53</v>
      </c>
      <c r="E128" s="262"/>
      <c r="F128" s="262"/>
      <c r="G128" s="262"/>
      <c r="H128" s="314">
        <f>-I213</f>
        <v>-35.6</v>
      </c>
      <c r="I128" s="315">
        <f>PRODUCT(E128:H128)</f>
        <v>-35.6</v>
      </c>
      <c r="J128" s="244"/>
      <c r="K128" s="258"/>
      <c r="L128" s="258"/>
      <c r="M128" s="258"/>
      <c r="N128" s="258"/>
      <c r="O128" s="258"/>
      <c r="P128" s="259"/>
      <c r="Q128" s="247"/>
      <c r="R128" s="247"/>
      <c r="S128" s="247"/>
      <c r="T128" s="247"/>
      <c r="U128" s="247"/>
      <c r="V128" s="247"/>
    </row>
    <row r="129" spans="1:22">
      <c r="A129" s="252"/>
      <c r="B129" s="39"/>
      <c r="C129" s="310"/>
      <c r="D129" s="313"/>
      <c r="E129" s="257"/>
      <c r="F129" s="262"/>
      <c r="G129" s="262"/>
      <c r="H129" s="314"/>
      <c r="I129" s="315">
        <f>PRODUCT(E129:H129)</f>
        <v>0</v>
      </c>
      <c r="J129" s="244"/>
      <c r="K129" s="258"/>
      <c r="L129" s="258"/>
      <c r="M129" s="258"/>
      <c r="N129" s="258"/>
      <c r="O129" s="258"/>
      <c r="P129" s="259"/>
      <c r="Q129" s="247"/>
      <c r="R129" s="247"/>
      <c r="S129" s="247"/>
      <c r="T129" s="247"/>
      <c r="U129" s="247"/>
      <c r="V129" s="247"/>
    </row>
    <row r="130" spans="1:22">
      <c r="A130" s="252"/>
      <c r="B130" s="39"/>
      <c r="C130" s="38"/>
      <c r="D130" s="254"/>
      <c r="E130" s="257"/>
      <c r="F130" s="257"/>
      <c r="G130" s="257"/>
      <c r="H130" s="263" t="s">
        <v>253</v>
      </c>
      <c r="I130" s="264">
        <f>SUM(I125:I129)</f>
        <v>197.63000000000002</v>
      </c>
      <c r="J130" s="244"/>
      <c r="K130" s="258"/>
      <c r="L130" s="258"/>
      <c r="M130" s="258"/>
      <c r="N130" s="258"/>
      <c r="O130" s="258"/>
      <c r="P130" s="259"/>
      <c r="Q130" s="247"/>
      <c r="R130" s="247"/>
      <c r="S130" s="247"/>
      <c r="T130" s="247"/>
      <c r="U130" s="247"/>
      <c r="V130" s="247"/>
    </row>
    <row r="131" spans="1:22">
      <c r="A131" s="252"/>
      <c r="B131" s="39"/>
      <c r="C131" s="38"/>
      <c r="D131" s="254"/>
      <c r="E131" s="257"/>
      <c r="F131" s="257"/>
      <c r="G131" s="257"/>
      <c r="H131" s="257"/>
      <c r="I131" s="257"/>
      <c r="J131" s="244"/>
      <c r="K131" s="258"/>
      <c r="L131" s="258"/>
      <c r="M131" s="258"/>
      <c r="N131" s="258"/>
      <c r="O131" s="258"/>
      <c r="P131" s="259"/>
      <c r="Q131" s="247"/>
      <c r="R131" s="247"/>
      <c r="S131" s="247"/>
      <c r="T131" s="247"/>
      <c r="U131" s="247"/>
      <c r="V131" s="247"/>
    </row>
    <row r="132" spans="1:22" ht="13.5" customHeight="1">
      <c r="A132" s="269" t="s">
        <v>60</v>
      </c>
      <c r="B132" s="304"/>
      <c r="C132" s="270" t="s">
        <v>281</v>
      </c>
      <c r="D132" s="316"/>
      <c r="E132" s="317"/>
      <c r="F132" s="317"/>
      <c r="G132" s="317"/>
      <c r="H132" s="318"/>
      <c r="I132" s="319">
        <f>PRODUCT(E132:H132)</f>
        <v>0</v>
      </c>
      <c r="J132" s="244"/>
      <c r="K132" s="258"/>
      <c r="L132" s="258"/>
      <c r="M132" s="258"/>
      <c r="N132" s="258"/>
      <c r="O132" s="258"/>
      <c r="P132" s="259"/>
      <c r="Q132" s="247"/>
      <c r="R132" s="247"/>
      <c r="S132" s="320"/>
      <c r="T132" s="247"/>
      <c r="U132" s="247"/>
      <c r="V132" s="247"/>
    </row>
    <row r="133" spans="1:22" ht="30" customHeight="1">
      <c r="A133" s="252" t="s">
        <v>62</v>
      </c>
      <c r="B133" s="37" t="s">
        <v>63</v>
      </c>
      <c r="C133" s="38" t="str">
        <f>VLOOKUP($B133,SINAPI!$C$6:J5905,2,0)</f>
        <v>TRANSPORTE HORIZONTAL DE MATERIAIS DIVERSOS A 30M</v>
      </c>
      <c r="D133" s="39" t="str">
        <f>VLOOKUP($B133,SINAPI!$C$6:K5905,3,0)</f>
        <v>M3</v>
      </c>
      <c r="E133" s="250"/>
      <c r="F133" s="250"/>
      <c r="G133" s="250"/>
      <c r="H133" s="251"/>
      <c r="I133" s="274">
        <f>I139</f>
        <v>361.70238749999999</v>
      </c>
      <c r="J133" s="244"/>
      <c r="K133" s="245">
        <f>VLOOKUP($B133,SINAPI!$C$6:R5905,4,0)</f>
        <v>26.88</v>
      </c>
      <c r="L133" s="245"/>
      <c r="M133" s="245"/>
      <c r="N133" s="245"/>
      <c r="O133" s="245"/>
      <c r="P133" s="246">
        <f>SUM(K133:O133)</f>
        <v>26.88</v>
      </c>
      <c r="Q133" s="247"/>
      <c r="R133" s="247"/>
      <c r="S133" s="320"/>
      <c r="T133" s="247"/>
      <c r="U133" s="247"/>
      <c r="V133" s="247"/>
    </row>
    <row r="134" spans="1:22" ht="13.5" customHeight="1">
      <c r="A134" s="252"/>
      <c r="B134" s="37"/>
      <c r="C134" s="38"/>
      <c r="D134" s="39"/>
      <c r="E134" s="250"/>
      <c r="F134" s="250"/>
      <c r="G134" s="250"/>
      <c r="H134" s="251"/>
      <c r="I134" s="274"/>
      <c r="J134" s="244"/>
      <c r="K134" s="258"/>
      <c r="L134" s="258"/>
      <c r="M134" s="258"/>
      <c r="N134" s="258"/>
      <c r="O134" s="258"/>
      <c r="P134" s="259"/>
      <c r="Q134" s="247"/>
      <c r="R134" s="247"/>
      <c r="S134" s="320"/>
      <c r="T134" s="247"/>
      <c r="U134" s="247"/>
      <c r="V134" s="247"/>
    </row>
    <row r="135" spans="1:22" ht="13.5" customHeight="1">
      <c r="A135" s="252"/>
      <c r="B135" s="39"/>
      <c r="C135" s="38"/>
      <c r="D135" s="39"/>
      <c r="E135" s="321"/>
      <c r="F135" s="321"/>
      <c r="G135" s="322" t="s">
        <v>370</v>
      </c>
      <c r="H135" s="323" t="s">
        <v>371</v>
      </c>
      <c r="I135" s="274"/>
      <c r="J135" s="244"/>
      <c r="K135" s="258"/>
      <c r="L135" s="258"/>
      <c r="M135" s="258"/>
      <c r="N135" s="258"/>
      <c r="O135" s="258"/>
      <c r="P135" s="259"/>
      <c r="Q135" s="247"/>
      <c r="R135" s="247"/>
      <c r="S135" s="320"/>
      <c r="T135" s="247"/>
      <c r="U135" s="247"/>
      <c r="V135" s="247"/>
    </row>
    <row r="136" spans="1:22" ht="13.5" customHeight="1">
      <c r="A136" s="252"/>
      <c r="B136" s="39"/>
      <c r="C136" s="38" t="s">
        <v>372</v>
      </c>
      <c r="D136" s="254"/>
      <c r="E136" s="257"/>
      <c r="F136" s="257"/>
      <c r="G136" s="324">
        <f>I106+I121</f>
        <v>239.06075000000001</v>
      </c>
      <c r="H136" s="257">
        <v>1.25</v>
      </c>
      <c r="I136" s="257">
        <f>PRODUCT(E136:H136)</f>
        <v>298.82593750000001</v>
      </c>
      <c r="J136" s="244"/>
      <c r="K136" s="258"/>
      <c r="L136" s="258"/>
      <c r="M136" s="258"/>
      <c r="N136" s="258"/>
      <c r="O136" s="258"/>
      <c r="P136" s="259"/>
      <c r="Q136" s="247"/>
      <c r="R136" s="247"/>
      <c r="S136" s="320"/>
      <c r="T136" s="247"/>
      <c r="U136" s="247"/>
      <c r="V136" s="247"/>
    </row>
    <row r="137" spans="1:22" ht="13.5" customHeight="1">
      <c r="A137" s="252"/>
      <c r="B137" s="39"/>
      <c r="C137" s="38" t="s">
        <v>373</v>
      </c>
      <c r="D137" s="254"/>
      <c r="E137" s="257"/>
      <c r="F137" s="257">
        <v>7.0000000000000007E-2</v>
      </c>
      <c r="G137" s="324">
        <f>I90</f>
        <v>690.94999999999993</v>
      </c>
      <c r="H137" s="257">
        <v>1.3</v>
      </c>
      <c r="I137" s="257">
        <f>PRODUCT(E137:H137)</f>
        <v>62.876450000000006</v>
      </c>
      <c r="J137" s="244"/>
      <c r="K137" s="258"/>
      <c r="L137" s="258"/>
      <c r="M137" s="258"/>
      <c r="N137" s="258"/>
      <c r="O137" s="258"/>
      <c r="P137" s="259"/>
      <c r="Q137" s="247"/>
      <c r="R137" s="247"/>
      <c r="S137" s="320"/>
      <c r="T137" s="247"/>
      <c r="U137" s="247"/>
      <c r="V137" s="247"/>
    </row>
    <row r="138" spans="1:22" ht="13.5" customHeight="1">
      <c r="A138" s="252"/>
      <c r="B138" s="39"/>
      <c r="C138" s="38"/>
      <c r="D138" s="254"/>
      <c r="E138" s="257"/>
      <c r="F138" s="257"/>
      <c r="G138" s="324"/>
      <c r="H138" s="312"/>
      <c r="I138" s="257"/>
      <c r="J138" s="244"/>
      <c r="K138" s="258"/>
      <c r="L138" s="258"/>
      <c r="M138" s="258"/>
      <c r="N138" s="258"/>
      <c r="O138" s="258"/>
      <c r="P138" s="259"/>
      <c r="Q138" s="247"/>
      <c r="R138" s="247"/>
      <c r="S138" s="320"/>
      <c r="T138" s="247"/>
      <c r="U138" s="247"/>
      <c r="V138" s="247"/>
    </row>
    <row r="139" spans="1:22">
      <c r="A139" s="252"/>
      <c r="B139" s="39"/>
      <c r="C139" s="325"/>
      <c r="D139" s="254"/>
      <c r="E139" s="250"/>
      <c r="F139" s="250"/>
      <c r="G139" s="255"/>
      <c r="H139" s="263" t="s">
        <v>253</v>
      </c>
      <c r="I139" s="264">
        <f>SUM(I136:I138)</f>
        <v>361.70238749999999</v>
      </c>
      <c r="J139" s="244"/>
      <c r="K139" s="258"/>
      <c r="L139" s="258"/>
      <c r="M139" s="258"/>
      <c r="N139" s="258"/>
      <c r="O139" s="258"/>
      <c r="P139" s="259"/>
      <c r="Q139" s="247"/>
      <c r="R139" s="247"/>
      <c r="S139" s="320"/>
      <c r="T139" s="247"/>
      <c r="U139" s="247"/>
      <c r="V139" s="247"/>
    </row>
    <row r="140" spans="1:22">
      <c r="A140" s="248"/>
      <c r="B140" s="248"/>
      <c r="C140" s="249"/>
      <c r="D140" s="254"/>
      <c r="E140" s="255"/>
      <c r="F140" s="255"/>
      <c r="G140" s="255"/>
      <c r="H140" s="301"/>
      <c r="I140" s="294"/>
      <c r="J140" s="244"/>
      <c r="K140" s="258"/>
      <c r="L140" s="258"/>
      <c r="M140" s="258"/>
      <c r="N140" s="258"/>
      <c r="O140" s="258"/>
      <c r="P140" s="259"/>
      <c r="Q140" s="247"/>
      <c r="R140" s="247"/>
      <c r="S140" s="320"/>
      <c r="T140" s="247"/>
      <c r="U140" s="247"/>
      <c r="V140" s="247"/>
    </row>
    <row r="141" spans="1:22" ht="27" customHeight="1">
      <c r="A141" s="252" t="s">
        <v>65</v>
      </c>
      <c r="B141" s="37" t="s">
        <v>66</v>
      </c>
      <c r="C141" s="38" t="str">
        <f>VLOOKUP($B141,SINAPI!$C$6:J5912,2,0)</f>
        <v>CARGA MANUAL DE TERRA EM CAMINHAO BASCULANTE 6 M3</v>
      </c>
      <c r="D141" s="39" t="str">
        <f>VLOOKUP($B141,SINAPI!$C$6:K5912,3,0)</f>
        <v>M3</v>
      </c>
      <c r="E141" s="250"/>
      <c r="F141" s="250"/>
      <c r="G141" s="250"/>
      <c r="H141" s="251"/>
      <c r="I141" s="274">
        <f>I145</f>
        <v>239.06075000000001</v>
      </c>
      <c r="J141" s="244"/>
      <c r="K141" s="245">
        <f>VLOOKUP($B141,SINAPI!$C$6:R5912,4,0)</f>
        <v>14.75</v>
      </c>
      <c r="L141" s="245"/>
      <c r="M141" s="245"/>
      <c r="N141" s="245"/>
      <c r="O141" s="245"/>
      <c r="P141" s="246">
        <f>SUM(K141:O141)</f>
        <v>14.75</v>
      </c>
      <c r="Q141" s="247"/>
      <c r="R141" s="247"/>
      <c r="S141" s="320"/>
      <c r="T141" s="247"/>
      <c r="U141" s="247"/>
      <c r="V141" s="247"/>
    </row>
    <row r="142" spans="1:22">
      <c r="A142" s="252"/>
      <c r="B142" s="37"/>
      <c r="C142" s="38"/>
      <c r="D142" s="39"/>
      <c r="E142" s="250"/>
      <c r="F142" s="250"/>
      <c r="G142" s="250"/>
      <c r="H142" s="251"/>
      <c r="I142" s="274"/>
      <c r="J142" s="244"/>
      <c r="K142" s="258"/>
      <c r="L142" s="258"/>
      <c r="M142" s="258"/>
      <c r="N142" s="258"/>
      <c r="O142" s="258"/>
      <c r="P142" s="259"/>
      <c r="Q142" s="247"/>
      <c r="R142" s="247"/>
      <c r="S142" s="320"/>
      <c r="T142" s="247"/>
      <c r="U142" s="247"/>
      <c r="V142" s="247"/>
    </row>
    <row r="143" spans="1:22">
      <c r="A143" s="252"/>
      <c r="B143" s="39"/>
      <c r="C143" s="38" t="s">
        <v>374</v>
      </c>
      <c r="D143" s="313"/>
      <c r="E143" s="262">
        <f>I106+I121</f>
        <v>239.06075000000001</v>
      </c>
      <c r="F143" s="262"/>
      <c r="G143" s="324"/>
      <c r="H143" s="257"/>
      <c r="I143" s="257">
        <f>PRODUCT(E143:H143)</f>
        <v>239.06075000000001</v>
      </c>
      <c r="J143" s="244"/>
      <c r="K143" s="258"/>
      <c r="L143" s="258"/>
      <c r="M143" s="258"/>
      <c r="N143" s="258"/>
      <c r="O143" s="258"/>
      <c r="P143" s="259"/>
      <c r="Q143" s="247"/>
      <c r="R143" s="247"/>
      <c r="S143" s="320"/>
      <c r="T143" s="247"/>
      <c r="U143" s="247"/>
      <c r="V143" s="247"/>
    </row>
    <row r="144" spans="1:22">
      <c r="A144" s="252"/>
      <c r="B144" s="39"/>
      <c r="C144" s="326"/>
      <c r="D144" s="39"/>
      <c r="E144" s="257"/>
      <c r="F144" s="262"/>
      <c r="G144" s="324"/>
      <c r="H144" s="257"/>
      <c r="I144" s="257">
        <f>PRODUCT(E144:H144)</f>
        <v>0</v>
      </c>
      <c r="J144" s="244"/>
      <c r="K144" s="258"/>
      <c r="L144" s="258"/>
      <c r="M144" s="258"/>
      <c r="N144" s="258"/>
      <c r="O144" s="258"/>
      <c r="P144" s="259"/>
      <c r="Q144" s="247"/>
      <c r="R144" s="247"/>
      <c r="S144" s="320"/>
      <c r="T144" s="247"/>
      <c r="U144" s="247"/>
      <c r="V144" s="247"/>
    </row>
    <row r="145" spans="1:22">
      <c r="A145" s="252"/>
      <c r="B145" s="39"/>
      <c r="C145" s="326"/>
      <c r="D145" s="39"/>
      <c r="E145" s="257"/>
      <c r="F145" s="262"/>
      <c r="G145" s="262"/>
      <c r="H145" s="263" t="s">
        <v>253</v>
      </c>
      <c r="I145" s="264">
        <f>SUM(I143:I144)</f>
        <v>239.06075000000001</v>
      </c>
      <c r="J145" s="244"/>
      <c r="K145" s="258"/>
      <c r="L145" s="258"/>
      <c r="M145" s="258"/>
      <c r="N145" s="258"/>
      <c r="O145" s="258"/>
      <c r="P145" s="259"/>
      <c r="Q145" s="247"/>
      <c r="R145" s="247"/>
      <c r="S145" s="320"/>
      <c r="T145" s="247"/>
      <c r="U145" s="247"/>
      <c r="V145" s="247"/>
    </row>
    <row r="146" spans="1:22">
      <c r="A146" s="248"/>
      <c r="B146" s="248"/>
      <c r="C146" s="249"/>
      <c r="D146" s="254"/>
      <c r="E146" s="255"/>
      <c r="F146" s="255"/>
      <c r="G146" s="255"/>
      <c r="H146" s="301"/>
      <c r="I146" s="294"/>
      <c r="J146" s="244"/>
      <c r="K146" s="258"/>
      <c r="L146" s="258"/>
      <c r="M146" s="258"/>
      <c r="N146" s="258"/>
      <c r="O146" s="258"/>
      <c r="P146" s="259"/>
      <c r="Q146" s="247"/>
      <c r="R146" s="247"/>
      <c r="S146" s="320"/>
      <c r="T146" s="247"/>
      <c r="U146" s="247"/>
      <c r="V146" s="247"/>
    </row>
    <row r="147" spans="1:22" ht="29.25" customHeight="1">
      <c r="A147" s="252" t="s">
        <v>68</v>
      </c>
      <c r="B147" s="37">
        <v>72897</v>
      </c>
      <c r="C147" s="38" t="str">
        <f>VLOOKUP($B147,SINAPI!$C$6:J5918,2,0)</f>
        <v>CARGA MANUAL DE ENTULHO EM CAMINHAO BASCULANTE 6 M3</v>
      </c>
      <c r="D147" s="39" t="str">
        <f>VLOOKUP($B147,SINAPI!$C$6:K5918,3,0)</f>
        <v>M3</v>
      </c>
      <c r="E147" s="250"/>
      <c r="F147" s="250"/>
      <c r="G147" s="250"/>
      <c r="H147" s="251"/>
      <c r="I147" s="274">
        <f>I151</f>
        <v>62.876450000000006</v>
      </c>
      <c r="J147" s="244"/>
      <c r="K147" s="245">
        <f>VLOOKUP($B147,SINAPI!$C$6:R5918,4,0)</f>
        <v>17.88</v>
      </c>
      <c r="L147" s="245"/>
      <c r="M147" s="245"/>
      <c r="N147" s="245"/>
      <c r="O147" s="245"/>
      <c r="P147" s="246">
        <f>SUM(K147:O147)</f>
        <v>17.88</v>
      </c>
      <c r="Q147" s="247"/>
      <c r="R147" s="247"/>
      <c r="S147" s="320"/>
      <c r="T147" s="247"/>
      <c r="U147" s="247"/>
      <c r="V147" s="247"/>
    </row>
    <row r="148" spans="1:22">
      <c r="A148" s="252"/>
      <c r="B148" s="37"/>
      <c r="C148" s="38"/>
      <c r="D148" s="39"/>
      <c r="E148" s="250"/>
      <c r="F148" s="250"/>
      <c r="G148" s="250"/>
      <c r="H148" s="251"/>
      <c r="I148" s="274"/>
      <c r="J148" s="244"/>
      <c r="K148" s="258"/>
      <c r="L148" s="258"/>
      <c r="M148" s="258"/>
      <c r="N148" s="258"/>
      <c r="O148" s="258"/>
      <c r="P148" s="259"/>
      <c r="Q148" s="247"/>
      <c r="R148" s="247"/>
      <c r="S148" s="320"/>
      <c r="T148" s="247"/>
      <c r="U148" s="247"/>
      <c r="V148" s="247"/>
    </row>
    <row r="149" spans="1:22">
      <c r="A149" s="252"/>
      <c r="B149" s="39"/>
      <c r="C149" s="38" t="s">
        <v>375</v>
      </c>
      <c r="D149" s="313"/>
      <c r="E149" s="262">
        <f>I137</f>
        <v>62.876450000000006</v>
      </c>
      <c r="F149" s="262"/>
      <c r="G149" s="324"/>
      <c r="H149" s="257"/>
      <c r="I149" s="257">
        <f>PRODUCT(E149:H149)</f>
        <v>62.876450000000006</v>
      </c>
      <c r="J149" s="244"/>
      <c r="K149" s="258"/>
      <c r="L149" s="258"/>
      <c r="M149" s="258"/>
      <c r="N149" s="258"/>
      <c r="O149" s="258"/>
      <c r="P149" s="259"/>
      <c r="Q149" s="247"/>
      <c r="R149" s="247"/>
      <c r="S149" s="320"/>
      <c r="T149" s="247"/>
      <c r="U149" s="247"/>
      <c r="V149" s="247"/>
    </row>
    <row r="150" spans="1:22">
      <c r="A150" s="252"/>
      <c r="B150" s="39"/>
      <c r="C150" s="326"/>
      <c r="D150" s="39"/>
      <c r="E150" s="257"/>
      <c r="F150" s="262"/>
      <c r="G150" s="324"/>
      <c r="H150" s="257"/>
      <c r="I150" s="257">
        <f>PRODUCT(E150:H150)</f>
        <v>0</v>
      </c>
      <c r="J150" s="244"/>
      <c r="K150" s="258"/>
      <c r="L150" s="258"/>
      <c r="M150" s="258"/>
      <c r="N150" s="258"/>
      <c r="O150" s="258"/>
      <c r="P150" s="259"/>
      <c r="Q150" s="247"/>
      <c r="R150" s="247"/>
      <c r="S150" s="320"/>
      <c r="T150" s="247"/>
      <c r="U150" s="247"/>
      <c r="V150" s="247"/>
    </row>
    <row r="151" spans="1:22">
      <c r="A151" s="252"/>
      <c r="B151" s="39"/>
      <c r="C151" s="326"/>
      <c r="D151" s="39"/>
      <c r="E151" s="257"/>
      <c r="F151" s="262"/>
      <c r="G151" s="262"/>
      <c r="H151" s="263" t="s">
        <v>253</v>
      </c>
      <c r="I151" s="264">
        <f>SUM(I149:I150)</f>
        <v>62.876450000000006</v>
      </c>
      <c r="J151" s="244"/>
      <c r="K151" s="258"/>
      <c r="L151" s="258"/>
      <c r="M151" s="258"/>
      <c r="N151" s="258"/>
      <c r="O151" s="258"/>
      <c r="P151" s="259"/>
      <c r="Q151" s="247"/>
      <c r="R151" s="247"/>
      <c r="S151" s="320"/>
      <c r="T151" s="247"/>
      <c r="U151" s="247"/>
      <c r="V151" s="247"/>
    </row>
    <row r="152" spans="1:22">
      <c r="A152" s="248"/>
      <c r="B152" s="248"/>
      <c r="C152" s="249"/>
      <c r="D152" s="254"/>
      <c r="E152" s="255"/>
      <c r="F152" s="255"/>
      <c r="G152" s="255"/>
      <c r="H152" s="301"/>
      <c r="I152" s="294"/>
      <c r="J152" s="244"/>
      <c r="K152" s="258"/>
      <c r="L152" s="258"/>
      <c r="M152" s="258"/>
      <c r="N152" s="258"/>
      <c r="O152" s="258"/>
      <c r="P152" s="259"/>
      <c r="Q152" s="247"/>
      <c r="R152" s="247"/>
      <c r="S152" s="320"/>
      <c r="T152" s="247"/>
      <c r="U152" s="247"/>
      <c r="V152" s="247"/>
    </row>
    <row r="153" spans="1:22" ht="27" customHeight="1">
      <c r="A153" s="252" t="s">
        <v>70</v>
      </c>
      <c r="B153" s="37">
        <v>72843</v>
      </c>
      <c r="C153" s="38" t="str">
        <f>VLOOKUP($B153,SINAPI!$C$6:J5900,2,0)</f>
        <v xml:space="preserve">TRANSPORTE COMERCIAL COM CAMINHAO BASCULANTE 6 M3, RODOVIA PAVIMENTADA  </v>
      </c>
      <c r="D153" s="39" t="str">
        <f>VLOOKUP($B153,SINAPI!$C$6:K5900,3,0)</f>
        <v>M3xKM</v>
      </c>
      <c r="E153" s="250"/>
      <c r="F153" s="250"/>
      <c r="G153" s="250"/>
      <c r="H153" s="251"/>
      <c r="I153" s="274">
        <f>I159</f>
        <v>6691.4941687500004</v>
      </c>
      <c r="J153" s="244"/>
      <c r="K153" s="245">
        <f>VLOOKUP($B153,SINAPI!$C$6:R5900,4,0)</f>
        <v>0.61</v>
      </c>
      <c r="L153" s="245"/>
      <c r="M153" s="245"/>
      <c r="N153" s="245"/>
      <c r="O153" s="245"/>
      <c r="P153" s="246">
        <f>SUM(K153:O153)</f>
        <v>0.61</v>
      </c>
      <c r="Q153" s="247"/>
      <c r="R153" s="247"/>
      <c r="S153" s="320"/>
      <c r="T153" s="247"/>
      <c r="U153" s="247"/>
      <c r="V153" s="247"/>
    </row>
    <row r="154" spans="1:22">
      <c r="A154" s="252"/>
      <c r="B154" s="39"/>
      <c r="C154" s="253"/>
      <c r="D154" s="327"/>
      <c r="E154" s="255"/>
      <c r="F154" s="255"/>
      <c r="G154" s="255"/>
      <c r="H154" s="256"/>
      <c r="I154" s="257">
        <f>PRODUCT(E154:H154)</f>
        <v>0</v>
      </c>
      <c r="J154" s="244"/>
      <c r="K154" s="258"/>
      <c r="L154" s="258"/>
      <c r="M154" s="258"/>
      <c r="N154" s="258"/>
      <c r="O154" s="258"/>
      <c r="P154" s="259"/>
      <c r="Q154" s="247"/>
      <c r="R154" s="247"/>
      <c r="S154" s="320"/>
      <c r="T154" s="247"/>
      <c r="U154" s="247"/>
      <c r="V154" s="247"/>
    </row>
    <row r="155" spans="1:22">
      <c r="A155" s="252"/>
      <c r="B155" s="39"/>
      <c r="C155" s="328"/>
      <c r="D155" s="39"/>
      <c r="E155" s="322" t="s">
        <v>376</v>
      </c>
      <c r="F155" s="321"/>
      <c r="G155" s="322"/>
      <c r="H155" s="329" t="s">
        <v>377</v>
      </c>
      <c r="I155" s="274"/>
      <c r="J155" s="244"/>
      <c r="K155" s="258"/>
      <c r="L155" s="258"/>
      <c r="M155" s="258"/>
      <c r="N155" s="258"/>
      <c r="O155" s="258"/>
      <c r="P155" s="259"/>
      <c r="Q155" s="247"/>
      <c r="R155" s="247"/>
      <c r="S155" s="320"/>
      <c r="T155" s="247"/>
      <c r="U155" s="247"/>
      <c r="V155" s="247"/>
    </row>
    <row r="156" spans="1:22">
      <c r="A156" s="252"/>
      <c r="B156" s="39"/>
      <c r="C156" s="38" t="s">
        <v>378</v>
      </c>
      <c r="D156" s="254"/>
      <c r="E156" s="257">
        <f>I136</f>
        <v>298.82593750000001</v>
      </c>
      <c r="F156" s="257"/>
      <c r="G156" s="322"/>
      <c r="H156" s="330">
        <v>18.5</v>
      </c>
      <c r="I156" s="262">
        <f>PRODUCT(E156:H156)</f>
        <v>5528.2798437500005</v>
      </c>
      <c r="J156" s="244"/>
      <c r="K156" s="258"/>
      <c r="L156" s="258"/>
      <c r="M156" s="258"/>
      <c r="N156" s="258"/>
      <c r="O156" s="258"/>
      <c r="P156" s="259"/>
      <c r="Q156" s="247"/>
      <c r="R156" s="247"/>
      <c r="S156" s="320"/>
      <c r="T156" s="247"/>
      <c r="U156" s="247"/>
      <c r="V156" s="247"/>
    </row>
    <row r="157" spans="1:22">
      <c r="A157" s="252"/>
      <c r="B157" s="39"/>
      <c r="C157" s="38"/>
      <c r="D157" s="254"/>
      <c r="E157" s="257">
        <f>I137</f>
        <v>62.876450000000006</v>
      </c>
      <c r="F157" s="257"/>
      <c r="G157" s="322"/>
      <c r="H157" s="330">
        <v>18.5</v>
      </c>
      <c r="I157" s="257">
        <f>PRODUCT(E157:H157)</f>
        <v>1163.2143250000001</v>
      </c>
      <c r="J157" s="244"/>
      <c r="K157" s="258"/>
      <c r="L157" s="258"/>
      <c r="M157" s="258"/>
      <c r="N157" s="258"/>
      <c r="O157" s="258"/>
      <c r="P157" s="259"/>
      <c r="Q157" s="247"/>
      <c r="R157" s="247"/>
      <c r="S157" s="320"/>
      <c r="T157" s="247"/>
      <c r="U157" s="247"/>
      <c r="V157" s="247"/>
    </row>
    <row r="158" spans="1:22">
      <c r="A158" s="252"/>
      <c r="B158" s="39"/>
      <c r="C158" s="38"/>
      <c r="D158" s="254"/>
      <c r="E158" s="257"/>
      <c r="F158" s="257"/>
      <c r="G158" s="322"/>
      <c r="H158" s="330"/>
      <c r="I158" s="257"/>
      <c r="J158" s="244"/>
      <c r="K158" s="258"/>
      <c r="L158" s="258"/>
      <c r="M158" s="258"/>
      <c r="N158" s="258"/>
      <c r="O158" s="258"/>
      <c r="P158" s="259"/>
      <c r="Q158" s="247"/>
      <c r="R158" s="247"/>
      <c r="S158" s="320"/>
      <c r="T158" s="247"/>
      <c r="U158" s="247"/>
      <c r="V158" s="247"/>
    </row>
    <row r="159" spans="1:22">
      <c r="A159" s="252"/>
      <c r="B159" s="39"/>
      <c r="C159" s="325"/>
      <c r="D159" s="254"/>
      <c r="E159" s="331"/>
      <c r="F159" s="255"/>
      <c r="G159" s="332"/>
      <c r="H159" s="263" t="s">
        <v>253</v>
      </c>
      <c r="I159" s="264">
        <f>SUM(I156:I158)</f>
        <v>6691.4941687500004</v>
      </c>
      <c r="J159" s="244"/>
      <c r="K159" s="258"/>
      <c r="L159" s="258"/>
      <c r="M159" s="258"/>
      <c r="N159" s="258"/>
      <c r="O159" s="258"/>
      <c r="P159" s="259"/>
      <c r="Q159" s="247"/>
      <c r="R159" s="247"/>
      <c r="S159" s="320"/>
      <c r="T159" s="247"/>
      <c r="U159" s="247"/>
      <c r="V159" s="247"/>
    </row>
    <row r="160" spans="1:22">
      <c r="A160" s="248"/>
      <c r="B160" s="248"/>
      <c r="C160" s="249"/>
      <c r="D160" s="254"/>
      <c r="E160" s="255"/>
      <c r="F160" s="255"/>
      <c r="G160" s="255"/>
      <c r="H160" s="301"/>
      <c r="I160" s="294"/>
      <c r="J160" s="244"/>
      <c r="K160" s="258"/>
      <c r="L160" s="258"/>
      <c r="M160" s="258"/>
      <c r="N160" s="258"/>
      <c r="O160" s="258"/>
      <c r="P160" s="259"/>
      <c r="Q160" s="247"/>
      <c r="R160" s="247"/>
      <c r="S160" s="247"/>
      <c r="T160" s="247"/>
      <c r="U160" s="247"/>
      <c r="V160" s="247"/>
    </row>
    <row r="161" spans="1:22" ht="41.25" customHeight="1">
      <c r="A161" s="252" t="s">
        <v>76</v>
      </c>
      <c r="B161" s="37" t="s">
        <v>77</v>
      </c>
      <c r="C161" s="38" t="str">
        <f>VLOOKUP($B161,SINAPI!$C$6:J5909,2,0)</f>
        <v>DEPÓSITO DE RESÍDUO (DESTINO FINAL) EM LOCAL LICENCIADO  - CLASSE II A - MATERIAL DE ESCAVAÇÃO (1ª CATEGORIA)</v>
      </c>
      <c r="D161" s="39" t="str">
        <f>VLOOKUP($B161,SINAPI!$C$6:K5909,3,0)</f>
        <v>T</v>
      </c>
      <c r="E161" s="250"/>
      <c r="F161" s="250"/>
      <c r="G161" s="250"/>
      <c r="H161" s="251"/>
      <c r="I161" s="274">
        <f>I166</f>
        <v>382.49720000000002</v>
      </c>
      <c r="J161" s="244"/>
      <c r="K161" s="245">
        <f>VLOOKUP($B161,SINAPI!$C$6:R5909,4,0)</f>
        <v>55.666666666666664</v>
      </c>
      <c r="L161" s="245"/>
      <c r="M161" s="245"/>
      <c r="N161" s="245"/>
      <c r="O161" s="245"/>
      <c r="P161" s="246">
        <f>SUM(K161:O161)</f>
        <v>55.666666666666664</v>
      </c>
      <c r="Q161" s="247"/>
      <c r="R161" s="247"/>
      <c r="S161" s="247"/>
      <c r="T161" s="247"/>
      <c r="U161" s="247"/>
      <c r="V161" s="247"/>
    </row>
    <row r="162" spans="1:22">
      <c r="A162" s="252"/>
      <c r="B162" s="39"/>
      <c r="C162" s="253"/>
      <c r="D162" s="327"/>
      <c r="E162" s="255"/>
      <c r="F162" s="255"/>
      <c r="G162" s="255"/>
      <c r="H162" s="256"/>
      <c r="I162" s="257">
        <f>PRODUCT(E162:H162)</f>
        <v>0</v>
      </c>
      <c r="J162" s="244"/>
      <c r="K162" s="258"/>
      <c r="L162" s="258"/>
      <c r="M162" s="258"/>
      <c r="N162" s="258"/>
      <c r="O162" s="258"/>
      <c r="P162" s="259"/>
      <c r="Q162" s="247"/>
      <c r="R162" s="247"/>
      <c r="S162" s="247"/>
      <c r="T162" s="247"/>
      <c r="U162" s="247"/>
      <c r="V162" s="247"/>
    </row>
    <row r="163" spans="1:22">
      <c r="A163" s="252"/>
      <c r="B163" s="39"/>
      <c r="C163" s="328"/>
      <c r="D163" s="39"/>
      <c r="E163" s="322" t="s">
        <v>379</v>
      </c>
      <c r="F163" s="321"/>
      <c r="G163" s="322"/>
      <c r="H163" s="323" t="s">
        <v>380</v>
      </c>
      <c r="I163" s="262">
        <f>PRODUCT(E163:H163)</f>
        <v>0</v>
      </c>
      <c r="J163" s="244"/>
      <c r="K163" s="258"/>
      <c r="L163" s="258"/>
      <c r="M163" s="258"/>
      <c r="N163" s="258"/>
      <c r="O163" s="258"/>
      <c r="P163" s="259"/>
      <c r="Q163" s="247"/>
      <c r="R163" s="247"/>
      <c r="S163" s="247"/>
      <c r="T163" s="247"/>
      <c r="U163" s="247"/>
      <c r="V163" s="247"/>
    </row>
    <row r="164" spans="1:22">
      <c r="A164" s="252"/>
      <c r="B164" s="39"/>
      <c r="C164" s="328"/>
      <c r="D164" s="39"/>
      <c r="E164" s="322"/>
      <c r="F164" s="321"/>
      <c r="G164" s="322"/>
      <c r="H164" s="333"/>
      <c r="I164" s="262"/>
      <c r="J164" s="244"/>
      <c r="K164" s="258"/>
      <c r="L164" s="258"/>
      <c r="M164" s="258"/>
      <c r="N164" s="258"/>
      <c r="O164" s="258"/>
      <c r="P164" s="259"/>
      <c r="Q164" s="247"/>
      <c r="R164" s="247"/>
      <c r="S164" s="247"/>
      <c r="T164" s="247"/>
      <c r="U164" s="247"/>
      <c r="V164" s="247"/>
    </row>
    <row r="165" spans="1:22">
      <c r="A165" s="252"/>
      <c r="B165" s="39"/>
      <c r="C165" s="328" t="s">
        <v>381</v>
      </c>
      <c r="D165" s="254"/>
      <c r="E165" s="257">
        <f>G136</f>
        <v>239.06075000000001</v>
      </c>
      <c r="F165" s="257"/>
      <c r="G165" s="257"/>
      <c r="H165" s="330">
        <v>1.6</v>
      </c>
      <c r="I165" s="334">
        <f>PRODUCT(E165:H165)</f>
        <v>382.49720000000002</v>
      </c>
      <c r="J165" s="244"/>
      <c r="K165" s="258"/>
      <c r="L165" s="258"/>
      <c r="M165" s="258"/>
      <c r="N165" s="258"/>
      <c r="O165" s="258"/>
      <c r="P165" s="259"/>
      <c r="Q165" s="247"/>
      <c r="R165" s="247"/>
      <c r="S165" s="247"/>
      <c r="T165" s="247"/>
      <c r="U165" s="247"/>
      <c r="V165" s="247"/>
    </row>
    <row r="166" spans="1:22">
      <c r="A166" s="252"/>
      <c r="B166" s="39"/>
      <c r="C166" s="325"/>
      <c r="D166" s="254"/>
      <c r="E166" s="331"/>
      <c r="F166" s="255"/>
      <c r="G166" s="332"/>
      <c r="H166" s="263" t="s">
        <v>253</v>
      </c>
      <c r="I166" s="264">
        <f>SUM(I165)</f>
        <v>382.49720000000002</v>
      </c>
      <c r="J166" s="244"/>
      <c r="K166" s="258"/>
      <c r="L166" s="258"/>
      <c r="M166" s="258"/>
      <c r="N166" s="258"/>
      <c r="O166" s="258"/>
      <c r="P166" s="259"/>
      <c r="Q166" s="247"/>
      <c r="R166" s="247"/>
      <c r="S166" s="247"/>
      <c r="T166" s="247"/>
      <c r="U166" s="247"/>
      <c r="V166" s="247"/>
    </row>
    <row r="167" spans="1:22">
      <c r="A167" s="252"/>
      <c r="B167" s="39"/>
      <c r="C167" s="325"/>
      <c r="D167" s="254"/>
      <c r="E167" s="331"/>
      <c r="F167" s="255"/>
      <c r="G167" s="332"/>
      <c r="H167" s="255"/>
      <c r="I167" s="255"/>
      <c r="J167" s="244"/>
      <c r="K167" s="258"/>
      <c r="L167" s="258"/>
      <c r="M167" s="258"/>
      <c r="N167" s="258"/>
      <c r="O167" s="258"/>
      <c r="P167" s="259"/>
      <c r="Q167" s="247"/>
      <c r="R167" s="247"/>
      <c r="S167" s="247"/>
      <c r="T167" s="247"/>
      <c r="U167" s="247"/>
      <c r="V167" s="247"/>
    </row>
    <row r="168" spans="1:22" ht="32.25" customHeight="1">
      <c r="A168" s="252" t="s">
        <v>80</v>
      </c>
      <c r="B168" s="37" t="s">
        <v>81</v>
      </c>
      <c r="C168" s="38" t="str">
        <f>VLOOKUP($B168,SINAPI!$C$6:J5915,2,0)</f>
        <v>DEPÓSITO DE RESÍDUO (DESTINO FINAL) EM LOCAL LICENCIADO  - CLASSE II B - ENTULHO</v>
      </c>
      <c r="D168" s="39" t="str">
        <f>VLOOKUP($B168,SINAPI!$C$6:K5915,3,0)</f>
        <v>T</v>
      </c>
      <c r="E168" s="250"/>
      <c r="F168" s="250"/>
      <c r="G168" s="250"/>
      <c r="H168" s="251"/>
      <c r="I168" s="274">
        <f>I173</f>
        <v>67.713099999999997</v>
      </c>
      <c r="J168" s="244"/>
      <c r="K168" s="245">
        <f>VLOOKUP($B168,SINAPI!$C$6:R5915,4,0)</f>
        <v>53.333333333333336</v>
      </c>
      <c r="L168" s="245"/>
      <c r="M168" s="245"/>
      <c r="N168" s="245"/>
      <c r="O168" s="245"/>
      <c r="P168" s="246">
        <f>SUM(K168:O168)</f>
        <v>53.333333333333336</v>
      </c>
      <c r="Q168" s="247"/>
      <c r="R168" s="247"/>
      <c r="S168" s="247"/>
      <c r="T168" s="247"/>
      <c r="U168" s="247"/>
      <c r="V168" s="247"/>
    </row>
    <row r="169" spans="1:22">
      <c r="A169" s="252"/>
      <c r="B169" s="39"/>
      <c r="C169" s="253"/>
      <c r="D169" s="327"/>
      <c r="E169" s="255"/>
      <c r="F169" s="255"/>
      <c r="G169" s="255"/>
      <c r="H169" s="256"/>
      <c r="I169" s="257">
        <f>PRODUCT(E169:H169)</f>
        <v>0</v>
      </c>
      <c r="J169" s="244"/>
      <c r="K169" s="258"/>
      <c r="L169" s="258"/>
      <c r="M169" s="258"/>
      <c r="N169" s="258"/>
      <c r="O169" s="258"/>
      <c r="P169" s="259"/>
      <c r="Q169" s="247"/>
      <c r="R169" s="247"/>
      <c r="S169" s="247"/>
      <c r="T169" s="247"/>
      <c r="U169" s="247"/>
      <c r="V169" s="247"/>
    </row>
    <row r="170" spans="1:22">
      <c r="A170" s="252"/>
      <c r="B170" s="39"/>
      <c r="C170" s="328"/>
      <c r="D170" s="39"/>
      <c r="E170" s="322" t="s">
        <v>379</v>
      </c>
      <c r="F170" s="321"/>
      <c r="G170" s="322"/>
      <c r="H170" s="323" t="s">
        <v>380</v>
      </c>
      <c r="I170" s="262">
        <f>PRODUCT(E170:H170)</f>
        <v>0</v>
      </c>
      <c r="J170" s="244"/>
      <c r="K170" s="258"/>
      <c r="L170" s="258"/>
      <c r="M170" s="258"/>
      <c r="N170" s="258"/>
      <c r="O170" s="258"/>
      <c r="P170" s="259"/>
      <c r="Q170" s="247"/>
      <c r="R170" s="247"/>
      <c r="S170" s="247"/>
      <c r="T170" s="247"/>
      <c r="U170" s="247"/>
      <c r="V170" s="247"/>
    </row>
    <row r="171" spans="1:22">
      <c r="A171" s="252"/>
      <c r="B171" s="39"/>
      <c r="C171" s="328"/>
      <c r="D171" s="39"/>
      <c r="E171" s="322"/>
      <c r="F171" s="321"/>
      <c r="G171" s="322"/>
      <c r="H171" s="333"/>
      <c r="I171" s="262"/>
      <c r="J171" s="244"/>
      <c r="K171" s="258"/>
      <c r="L171" s="258"/>
      <c r="M171" s="258"/>
      <c r="N171" s="258"/>
      <c r="O171" s="258"/>
      <c r="P171" s="259"/>
      <c r="Q171" s="247"/>
      <c r="R171" s="247"/>
      <c r="S171" s="247"/>
      <c r="T171" s="247"/>
      <c r="U171" s="247"/>
      <c r="V171" s="247"/>
    </row>
    <row r="172" spans="1:22">
      <c r="A172" s="252"/>
      <c r="B172" s="39"/>
      <c r="C172" s="328" t="s">
        <v>382</v>
      </c>
      <c r="D172" s="254"/>
      <c r="E172" s="257">
        <f>G137</f>
        <v>690.94999999999993</v>
      </c>
      <c r="F172" s="257">
        <v>7.0000000000000007E-2</v>
      </c>
      <c r="G172" s="257"/>
      <c r="H172" s="330">
        <v>1.4</v>
      </c>
      <c r="I172" s="334">
        <f>PRODUCT(E172:H172)</f>
        <v>67.713099999999997</v>
      </c>
      <c r="J172" s="244"/>
      <c r="K172" s="258"/>
      <c r="L172" s="258"/>
      <c r="M172" s="258"/>
      <c r="N172" s="258"/>
      <c r="O172" s="258"/>
      <c r="P172" s="259"/>
      <c r="Q172" s="247"/>
      <c r="R172" s="247"/>
      <c r="S172" s="247"/>
      <c r="T172" s="247"/>
      <c r="U172" s="247"/>
      <c r="V172" s="247"/>
    </row>
    <row r="173" spans="1:22">
      <c r="A173" s="252"/>
      <c r="B173" s="39"/>
      <c r="C173" s="325"/>
      <c r="D173" s="254"/>
      <c r="E173" s="331"/>
      <c r="F173" s="255"/>
      <c r="G173" s="332"/>
      <c r="H173" s="263" t="s">
        <v>253</v>
      </c>
      <c r="I173" s="264">
        <f>SUM(I172)</f>
        <v>67.713099999999997</v>
      </c>
      <c r="J173" s="244"/>
      <c r="K173" s="258"/>
      <c r="L173" s="258"/>
      <c r="M173" s="258"/>
      <c r="N173" s="258"/>
      <c r="O173" s="258"/>
      <c r="P173" s="259"/>
      <c r="Q173" s="247"/>
      <c r="R173" s="247"/>
      <c r="S173" s="247"/>
      <c r="T173" s="247"/>
      <c r="U173" s="247"/>
      <c r="V173" s="247"/>
    </row>
    <row r="174" spans="1:22">
      <c r="A174" s="252"/>
      <c r="B174" s="39"/>
      <c r="C174" s="325"/>
      <c r="D174" s="254"/>
      <c r="E174" s="331"/>
      <c r="F174" s="255"/>
      <c r="G174" s="332"/>
      <c r="H174" s="335"/>
      <c r="I174" s="336"/>
      <c r="J174" s="244"/>
      <c r="K174" s="258"/>
      <c r="L174" s="258"/>
      <c r="M174" s="258"/>
      <c r="N174" s="258"/>
      <c r="O174" s="258"/>
      <c r="P174" s="259"/>
      <c r="Q174" s="247"/>
      <c r="R174" s="247"/>
      <c r="S174" s="247"/>
      <c r="T174" s="247"/>
      <c r="U174" s="247"/>
      <c r="V174" s="247"/>
    </row>
    <row r="175" spans="1:22" ht="25.5">
      <c r="A175" s="269" t="s">
        <v>83</v>
      </c>
      <c r="B175" s="269"/>
      <c r="C175" s="337" t="s">
        <v>282</v>
      </c>
      <c r="D175" s="271"/>
      <c r="E175" s="319"/>
      <c r="F175" s="319"/>
      <c r="G175" s="319"/>
      <c r="H175" s="319"/>
      <c r="I175" s="272"/>
      <c r="J175" s="244"/>
      <c r="K175" s="245"/>
      <c r="L175" s="245"/>
      <c r="M175" s="245"/>
      <c r="N175" s="245"/>
      <c r="O175" s="245"/>
      <c r="P175" s="246"/>
      <c r="Q175" s="247"/>
      <c r="R175" s="247"/>
      <c r="S175" s="247"/>
      <c r="T175" s="247"/>
      <c r="U175" s="247"/>
      <c r="V175" s="247"/>
    </row>
    <row r="176" spans="1:22">
      <c r="A176" s="248"/>
      <c r="B176" s="248"/>
      <c r="C176" s="338"/>
      <c r="D176" s="338"/>
      <c r="E176" s="338"/>
      <c r="F176" s="338"/>
      <c r="G176" s="338"/>
      <c r="H176" s="338"/>
      <c r="I176" s="338"/>
      <c r="J176" s="244"/>
      <c r="K176" s="245"/>
      <c r="L176" s="245"/>
      <c r="M176" s="245"/>
      <c r="N176" s="245"/>
      <c r="O176" s="245"/>
      <c r="P176" s="246"/>
      <c r="Q176" s="247"/>
      <c r="R176" s="247"/>
      <c r="S176" s="247"/>
      <c r="T176" s="247"/>
      <c r="U176" s="247"/>
      <c r="V176" s="247"/>
    </row>
    <row r="177" spans="1:22">
      <c r="A177" s="248" t="s">
        <v>84</v>
      </c>
      <c r="B177" s="339"/>
      <c r="C177" s="340" t="s">
        <v>85</v>
      </c>
      <c r="D177" s="39"/>
      <c r="E177" s="257"/>
      <c r="F177" s="257"/>
      <c r="G177" s="257"/>
      <c r="H177" s="257"/>
      <c r="I177" s="250"/>
      <c r="J177" s="244"/>
      <c r="K177" s="245"/>
      <c r="L177" s="245"/>
      <c r="M177" s="245"/>
      <c r="N177" s="245"/>
      <c r="O177" s="245"/>
      <c r="P177" s="246"/>
      <c r="Q177" s="247"/>
      <c r="R177" s="247"/>
      <c r="S177" s="247"/>
      <c r="T177" s="247"/>
      <c r="U177" s="247"/>
      <c r="V177" s="247"/>
    </row>
    <row r="178" spans="1:22" ht="27" customHeight="1">
      <c r="A178" s="252" t="s">
        <v>86</v>
      </c>
      <c r="B178" s="37">
        <v>6042</v>
      </c>
      <c r="C178" s="38" t="str">
        <f>VLOOKUP($B178,SINAPI!$C$6:J6102,2,0)</f>
        <v>CONCRETO NAO ESTRUTURAL, CONSUMO 210KG/M3, PREPARO COM BETONEIRA, SEM LANCAMENTO</v>
      </c>
      <c r="D178" s="39" t="str">
        <f>VLOOKUP($B178,SINAPI!$C$6:K6102,3,0)</f>
        <v>M3</v>
      </c>
      <c r="E178" s="257"/>
      <c r="F178" s="257"/>
      <c r="G178" s="257"/>
      <c r="H178" s="257"/>
      <c r="I178" s="274">
        <f>I191</f>
        <v>5.830750000000001</v>
      </c>
      <c r="J178" s="244"/>
      <c r="K178" s="245">
        <f>VLOOKUP($B178,SINAPI!$C$6:R6102,4,0)</f>
        <v>251.72</v>
      </c>
      <c r="L178" s="245"/>
      <c r="M178" s="245"/>
      <c r="N178" s="245"/>
      <c r="O178" s="245"/>
      <c r="P178" s="246">
        <f>SUM(K178:O178)</f>
        <v>251.72</v>
      </c>
      <c r="Q178" s="247"/>
      <c r="R178" s="247"/>
      <c r="S178" s="247"/>
      <c r="T178" s="247"/>
      <c r="U178" s="247"/>
      <c r="V178" s="247"/>
    </row>
    <row r="179" spans="1:22">
      <c r="A179" s="252"/>
      <c r="B179" s="37"/>
      <c r="C179" s="341"/>
      <c r="D179" s="39"/>
      <c r="E179" s="257"/>
      <c r="F179" s="257"/>
      <c r="G179" s="257"/>
      <c r="H179" s="257"/>
      <c r="I179" s="342"/>
      <c r="J179" s="244"/>
      <c r="K179" s="258"/>
      <c r="L179" s="258"/>
      <c r="M179" s="258"/>
      <c r="N179" s="258"/>
      <c r="O179" s="258"/>
      <c r="P179" s="259"/>
      <c r="Q179" s="247"/>
      <c r="R179" s="247"/>
      <c r="S179" s="247"/>
      <c r="T179" s="247"/>
      <c r="U179" s="247"/>
      <c r="V179" s="247"/>
    </row>
    <row r="180" spans="1:22">
      <c r="A180" s="252"/>
      <c r="B180" s="39"/>
      <c r="C180" s="310" t="s">
        <v>359</v>
      </c>
      <c r="D180" s="39"/>
      <c r="E180" s="250"/>
      <c r="F180" s="250"/>
      <c r="G180" s="250"/>
      <c r="H180" s="309"/>
      <c r="I180" s="262"/>
      <c r="J180" s="244"/>
      <c r="K180" s="258"/>
      <c r="L180" s="258"/>
      <c r="M180" s="258"/>
      <c r="N180" s="258"/>
      <c r="O180" s="258"/>
      <c r="P180" s="259"/>
      <c r="Q180" s="247"/>
      <c r="R180" s="247"/>
      <c r="S180" s="247"/>
      <c r="T180" s="247"/>
      <c r="U180" s="247"/>
      <c r="V180" s="247"/>
    </row>
    <row r="181" spans="1:22">
      <c r="A181" s="252"/>
      <c r="B181" s="39"/>
      <c r="C181" s="310" t="s">
        <v>360</v>
      </c>
      <c r="D181" s="254"/>
      <c r="E181" s="257">
        <f>0.5+1.95+0.5</f>
        <v>2.95</v>
      </c>
      <c r="F181" s="257">
        <f>0.5+1.75+0.5</f>
        <v>2.75</v>
      </c>
      <c r="G181" s="257">
        <v>0.05</v>
      </c>
      <c r="H181" s="309"/>
      <c r="I181" s="262">
        <f t="shared" ref="I181:I189" si="1">PRODUCT(E181:H181)</f>
        <v>0.40562500000000007</v>
      </c>
      <c r="J181" s="244"/>
      <c r="K181" s="258"/>
      <c r="L181" s="258"/>
      <c r="M181" s="258"/>
      <c r="N181" s="258"/>
      <c r="O181" s="258"/>
      <c r="P181" s="259"/>
      <c r="Q181" s="247"/>
      <c r="R181" s="247"/>
      <c r="S181" s="247"/>
      <c r="T181" s="247"/>
      <c r="U181" s="247"/>
      <c r="V181" s="247"/>
    </row>
    <row r="182" spans="1:22">
      <c r="A182" s="252"/>
      <c r="B182" s="39"/>
      <c r="C182" s="310" t="s">
        <v>361</v>
      </c>
      <c r="D182" s="254"/>
      <c r="E182" s="257">
        <f>0.5+4.55+0.5</f>
        <v>5.55</v>
      </c>
      <c r="F182" s="257">
        <f>0.5+2.95+0.5</f>
        <v>3.95</v>
      </c>
      <c r="G182" s="257">
        <v>0.05</v>
      </c>
      <c r="H182" s="309"/>
      <c r="I182" s="262">
        <f t="shared" si="1"/>
        <v>1.096125</v>
      </c>
      <c r="J182" s="244"/>
      <c r="K182" s="258"/>
      <c r="L182" s="258"/>
      <c r="M182" s="258"/>
      <c r="N182" s="258"/>
      <c r="O182" s="258"/>
      <c r="P182" s="259"/>
      <c r="Q182" s="247"/>
      <c r="R182" s="247"/>
      <c r="S182" s="247"/>
      <c r="T182" s="247"/>
      <c r="U182" s="247"/>
      <c r="V182" s="247"/>
    </row>
    <row r="183" spans="1:22">
      <c r="A183" s="252"/>
      <c r="B183" s="39"/>
      <c r="C183" s="310" t="s">
        <v>362</v>
      </c>
      <c r="D183" s="254"/>
      <c r="E183" s="257">
        <f>0.5+1.95+0.5</f>
        <v>2.95</v>
      </c>
      <c r="F183" s="257">
        <f>0.5+1.75+0.5</f>
        <v>2.75</v>
      </c>
      <c r="G183" s="257">
        <v>0.05</v>
      </c>
      <c r="H183" s="309"/>
      <c r="I183" s="262">
        <f t="shared" si="1"/>
        <v>0.40562500000000007</v>
      </c>
      <c r="J183" s="244"/>
      <c r="K183" s="258"/>
      <c r="L183" s="258"/>
      <c r="M183" s="258"/>
      <c r="N183" s="258"/>
      <c r="O183" s="258"/>
      <c r="P183" s="259"/>
      <c r="Q183" s="247"/>
      <c r="R183" s="247"/>
      <c r="S183" s="247"/>
      <c r="T183" s="247"/>
      <c r="U183" s="247"/>
      <c r="V183" s="247"/>
    </row>
    <row r="184" spans="1:22">
      <c r="A184" s="252"/>
      <c r="B184" s="39"/>
      <c r="C184" s="310" t="s">
        <v>363</v>
      </c>
      <c r="D184" s="254"/>
      <c r="E184" s="257"/>
      <c r="F184" s="257"/>
      <c r="G184" s="257"/>
      <c r="H184" s="257"/>
      <c r="I184" s="262">
        <f t="shared" si="1"/>
        <v>0</v>
      </c>
      <c r="J184" s="244"/>
      <c r="K184" s="258"/>
      <c r="L184" s="258"/>
      <c r="M184" s="258"/>
      <c r="N184" s="258"/>
      <c r="O184" s="258"/>
      <c r="P184" s="259"/>
      <c r="Q184" s="247"/>
      <c r="R184" s="247"/>
      <c r="S184" s="247"/>
      <c r="T184" s="247"/>
      <c r="U184" s="247"/>
      <c r="V184" s="247"/>
    </row>
    <row r="185" spans="1:22">
      <c r="A185" s="252"/>
      <c r="B185" s="39"/>
      <c r="C185" s="310" t="s">
        <v>360</v>
      </c>
      <c r="D185" s="254"/>
      <c r="E185" s="257">
        <f>0.5+1.95+0.5</f>
        <v>2.95</v>
      </c>
      <c r="F185" s="257">
        <f>0.5+1.75+0.5</f>
        <v>2.75</v>
      </c>
      <c r="G185" s="257">
        <v>0.05</v>
      </c>
      <c r="H185" s="257"/>
      <c r="I185" s="262">
        <f t="shared" si="1"/>
        <v>0.40562500000000007</v>
      </c>
      <c r="J185" s="244"/>
      <c r="K185" s="258"/>
      <c r="L185" s="258"/>
      <c r="M185" s="258"/>
      <c r="N185" s="258"/>
      <c r="O185" s="258"/>
      <c r="P185" s="259"/>
      <c r="Q185" s="247"/>
      <c r="R185" s="247"/>
      <c r="S185" s="247"/>
      <c r="T185" s="247"/>
      <c r="U185" s="247"/>
      <c r="V185" s="247"/>
    </row>
    <row r="186" spans="1:22">
      <c r="A186" s="252"/>
      <c r="B186" s="39"/>
      <c r="C186" s="310" t="s">
        <v>361</v>
      </c>
      <c r="D186" s="254"/>
      <c r="E186" s="257">
        <f>0.5+4.55+0.5</f>
        <v>5.55</v>
      </c>
      <c r="F186" s="257">
        <f>0.5+2.95+0.5</f>
        <v>3.95</v>
      </c>
      <c r="G186" s="257">
        <v>0.05</v>
      </c>
      <c r="H186" s="257"/>
      <c r="I186" s="262">
        <f t="shared" si="1"/>
        <v>1.096125</v>
      </c>
      <c r="J186" s="244"/>
      <c r="K186" s="258"/>
      <c r="L186" s="258"/>
      <c r="M186" s="258"/>
      <c r="N186" s="258"/>
      <c r="O186" s="258"/>
      <c r="P186" s="259"/>
      <c r="Q186" s="247"/>
      <c r="R186" s="247"/>
      <c r="S186" s="247"/>
      <c r="T186" s="247"/>
      <c r="U186" s="247"/>
      <c r="V186" s="247"/>
    </row>
    <row r="187" spans="1:22">
      <c r="A187" s="252"/>
      <c r="B187" s="39"/>
      <c r="C187" s="310" t="s">
        <v>362</v>
      </c>
      <c r="D187" s="254"/>
      <c r="E187" s="257">
        <f>0.5+1.95+0.5</f>
        <v>2.95</v>
      </c>
      <c r="F187" s="257">
        <f>0.5+1.75+0.5</f>
        <v>2.75</v>
      </c>
      <c r="G187" s="257">
        <v>0.05</v>
      </c>
      <c r="H187" s="257"/>
      <c r="I187" s="262">
        <f t="shared" si="1"/>
        <v>0.40562500000000007</v>
      </c>
      <c r="J187" s="244"/>
      <c r="K187" s="258"/>
      <c r="L187" s="258"/>
      <c r="M187" s="258"/>
      <c r="N187" s="258"/>
      <c r="O187" s="258"/>
      <c r="P187" s="259"/>
      <c r="Q187" s="247"/>
      <c r="R187" s="247"/>
      <c r="S187" s="247"/>
      <c r="T187" s="247"/>
      <c r="U187" s="247"/>
      <c r="V187" s="247"/>
    </row>
    <row r="188" spans="1:22">
      <c r="A188" s="252"/>
      <c r="B188" s="39"/>
      <c r="C188" s="310" t="s">
        <v>365</v>
      </c>
      <c r="D188" s="254"/>
      <c r="E188" s="257"/>
      <c r="F188" s="257"/>
      <c r="G188" s="257"/>
      <c r="H188" s="257"/>
      <c r="I188" s="262">
        <f t="shared" si="1"/>
        <v>0</v>
      </c>
      <c r="J188" s="244"/>
      <c r="K188" s="258"/>
      <c r="L188" s="258"/>
      <c r="M188" s="258"/>
      <c r="N188" s="258"/>
      <c r="O188" s="258"/>
      <c r="P188" s="259"/>
      <c r="Q188" s="247"/>
      <c r="R188" s="247"/>
      <c r="S188" s="247"/>
      <c r="T188" s="247"/>
      <c r="U188" s="247"/>
      <c r="V188" s="247"/>
    </row>
    <row r="189" spans="1:22">
      <c r="A189" s="252"/>
      <c r="B189" s="39"/>
      <c r="C189" s="310" t="s">
        <v>361</v>
      </c>
      <c r="D189" s="254"/>
      <c r="E189" s="257">
        <f>0.5+3.2+0.5</f>
        <v>4.2</v>
      </c>
      <c r="F189" s="257">
        <f>0.5+2.2+0.5</f>
        <v>3.2</v>
      </c>
      <c r="G189" s="257">
        <v>0.05</v>
      </c>
      <c r="H189" s="257">
        <v>3</v>
      </c>
      <c r="I189" s="262">
        <f t="shared" si="1"/>
        <v>2.0160000000000005</v>
      </c>
      <c r="J189" s="244"/>
      <c r="K189" s="258"/>
      <c r="L189" s="258"/>
      <c r="M189" s="258"/>
      <c r="N189" s="258"/>
      <c r="O189" s="258"/>
      <c r="P189" s="259"/>
      <c r="Q189" s="247"/>
      <c r="R189" s="247"/>
      <c r="S189" s="247"/>
      <c r="T189" s="247"/>
      <c r="U189" s="247"/>
      <c r="V189" s="247"/>
    </row>
    <row r="190" spans="1:22">
      <c r="A190" s="252"/>
      <c r="B190" s="39"/>
      <c r="C190" s="326"/>
      <c r="D190" s="39"/>
      <c r="E190" s="257"/>
      <c r="F190" s="257"/>
      <c r="G190" s="257"/>
      <c r="H190" s="257"/>
      <c r="I190" s="262"/>
      <c r="J190" s="244"/>
      <c r="K190" s="258"/>
      <c r="L190" s="258"/>
      <c r="M190" s="258"/>
      <c r="N190" s="258"/>
      <c r="O190" s="258"/>
      <c r="P190" s="259"/>
      <c r="Q190" s="247"/>
      <c r="R190" s="247"/>
      <c r="S190" s="247"/>
      <c r="T190" s="247"/>
      <c r="U190" s="247"/>
      <c r="V190" s="247"/>
    </row>
    <row r="191" spans="1:22">
      <c r="A191" s="252"/>
      <c r="B191" s="39"/>
      <c r="C191" s="310"/>
      <c r="D191" s="254"/>
      <c r="E191" s="257"/>
      <c r="F191" s="257"/>
      <c r="G191" s="257"/>
      <c r="H191" s="343" t="s">
        <v>253</v>
      </c>
      <c r="I191" s="344">
        <f>SUM(I181:I190)</f>
        <v>5.830750000000001</v>
      </c>
      <c r="J191" s="244"/>
      <c r="K191" s="258"/>
      <c r="L191" s="258"/>
      <c r="M191" s="258"/>
      <c r="N191" s="258"/>
      <c r="O191" s="258"/>
      <c r="P191" s="259"/>
      <c r="Q191" s="247"/>
      <c r="R191" s="247"/>
      <c r="S191" s="247"/>
      <c r="T191" s="247"/>
      <c r="U191" s="247"/>
      <c r="V191" s="247"/>
    </row>
    <row r="192" spans="1:22">
      <c r="A192" s="252"/>
      <c r="B192" s="39"/>
      <c r="C192" s="310"/>
      <c r="D192" s="254"/>
      <c r="E192" s="257"/>
      <c r="F192" s="257"/>
      <c r="G192" s="257"/>
      <c r="H192" s="295"/>
      <c r="I192" s="296"/>
      <c r="J192" s="244"/>
      <c r="K192" s="258"/>
      <c r="L192" s="258"/>
      <c r="M192" s="258"/>
      <c r="N192" s="258"/>
      <c r="O192" s="258"/>
      <c r="P192" s="259"/>
      <c r="Q192" s="247"/>
      <c r="R192" s="247"/>
      <c r="S192" s="247"/>
      <c r="T192" s="247"/>
      <c r="U192" s="247"/>
      <c r="V192" s="247"/>
    </row>
    <row r="193" spans="1:22" ht="28.5" customHeight="1">
      <c r="A193" s="252" t="s">
        <v>88</v>
      </c>
      <c r="B193" s="345">
        <v>92874</v>
      </c>
      <c r="C193" s="38" t="str">
        <f>VLOOKUP($B193,SINAPI!$C$6:J6076,2,0)</f>
        <v>LANÇAMENTO COM USO DE BOMBA, ADENSAMENTO E ACABAMENTO DE CONCRETO EM ESTRUTURAS.</v>
      </c>
      <c r="D193" s="39" t="str">
        <f>VLOOKUP($B193,SINAPI!$C$6:K6153,3,0)</f>
        <v>M3</v>
      </c>
      <c r="E193" s="257"/>
      <c r="F193" s="257"/>
      <c r="G193" s="257"/>
      <c r="H193" s="257"/>
      <c r="I193" s="274">
        <f>I196</f>
        <v>5.830750000000001</v>
      </c>
      <c r="J193" s="244"/>
      <c r="K193" s="245">
        <f>VLOOKUP($B193,SINAPI!$C$6:R6153,4,0)</f>
        <v>19.190000000000001</v>
      </c>
      <c r="L193" s="245"/>
      <c r="M193" s="245"/>
      <c r="N193" s="245"/>
      <c r="O193" s="245"/>
      <c r="P193" s="246">
        <f>SUM(K193:O193)</f>
        <v>19.190000000000001</v>
      </c>
      <c r="Q193" s="247"/>
      <c r="R193" s="247"/>
      <c r="S193" s="247"/>
      <c r="T193" s="247"/>
      <c r="U193" s="247"/>
      <c r="V193" s="247"/>
    </row>
    <row r="194" spans="1:22">
      <c r="A194" s="252"/>
      <c r="B194" s="39"/>
      <c r="C194" s="253"/>
      <c r="D194" s="254"/>
      <c r="E194" s="250"/>
      <c r="F194" s="250"/>
      <c r="G194" s="250"/>
      <c r="H194" s="346"/>
      <c r="I194" s="298"/>
      <c r="J194" s="244"/>
      <c r="K194" s="258"/>
      <c r="L194" s="258"/>
      <c r="M194" s="258"/>
      <c r="N194" s="258"/>
      <c r="O194" s="258"/>
      <c r="P194" s="259"/>
      <c r="Q194" s="247"/>
      <c r="R194" s="247"/>
      <c r="S194" s="247"/>
      <c r="T194" s="247"/>
      <c r="U194" s="247"/>
      <c r="V194" s="247"/>
    </row>
    <row r="195" spans="1:22">
      <c r="A195" s="252"/>
      <c r="B195" s="39"/>
      <c r="C195" s="326" t="s">
        <v>383</v>
      </c>
      <c r="D195" s="39"/>
      <c r="E195" s="257"/>
      <c r="F195" s="262"/>
      <c r="G195" s="262"/>
      <c r="H195" s="324">
        <f>I178</f>
        <v>5.830750000000001</v>
      </c>
      <c r="I195" s="268">
        <f>PRODUCT(E195:H195)</f>
        <v>5.830750000000001</v>
      </c>
      <c r="J195" s="244"/>
      <c r="K195" s="258"/>
      <c r="L195" s="258"/>
      <c r="M195" s="258"/>
      <c r="N195" s="258"/>
      <c r="O195" s="258"/>
      <c r="P195" s="259"/>
      <c r="Q195" s="247"/>
      <c r="R195" s="247"/>
      <c r="S195" s="247"/>
      <c r="T195" s="247"/>
      <c r="U195" s="247"/>
      <c r="V195" s="247"/>
    </row>
    <row r="196" spans="1:22">
      <c r="A196" s="252"/>
      <c r="B196" s="39"/>
      <c r="C196" s="253"/>
      <c r="D196" s="254"/>
      <c r="E196" s="250"/>
      <c r="F196" s="250"/>
      <c r="G196" s="250"/>
      <c r="H196" s="343" t="s">
        <v>253</v>
      </c>
      <c r="I196" s="344">
        <f>SUM(I195)</f>
        <v>5.830750000000001</v>
      </c>
      <c r="J196" s="244"/>
      <c r="K196" s="258"/>
      <c r="L196" s="258"/>
      <c r="M196" s="258"/>
      <c r="N196" s="258"/>
      <c r="O196" s="258"/>
      <c r="P196" s="259"/>
      <c r="Q196" s="247"/>
      <c r="R196" s="247"/>
      <c r="S196" s="247"/>
      <c r="T196" s="247"/>
      <c r="U196" s="247"/>
      <c r="V196" s="247"/>
    </row>
    <row r="197" spans="1:22">
      <c r="A197" s="252"/>
      <c r="B197" s="39"/>
      <c r="C197" s="253"/>
      <c r="D197" s="254"/>
      <c r="E197" s="250"/>
      <c r="F197" s="250"/>
      <c r="G197" s="250"/>
      <c r="H197" s="347"/>
      <c r="I197" s="296"/>
      <c r="J197" s="244"/>
      <c r="K197" s="258"/>
      <c r="L197" s="258"/>
      <c r="M197" s="258"/>
      <c r="N197" s="258"/>
      <c r="O197" s="258"/>
      <c r="P197" s="259"/>
      <c r="Q197" s="247"/>
      <c r="R197" s="247"/>
      <c r="S197" s="247"/>
      <c r="T197" s="247"/>
      <c r="U197" s="247"/>
      <c r="V197" s="247"/>
    </row>
    <row r="198" spans="1:22">
      <c r="A198" s="252"/>
      <c r="B198" s="39"/>
      <c r="C198" s="310"/>
      <c r="D198" s="254"/>
      <c r="E198" s="257"/>
      <c r="F198" s="257"/>
      <c r="G198" s="257"/>
      <c r="H198" s="295"/>
      <c r="I198" s="296"/>
      <c r="J198" s="244"/>
      <c r="K198" s="258"/>
      <c r="L198" s="258"/>
      <c r="M198" s="258"/>
      <c r="N198" s="258"/>
      <c r="O198" s="258"/>
      <c r="P198" s="259"/>
      <c r="Q198" s="247"/>
      <c r="R198" s="247"/>
      <c r="S198" s="247"/>
      <c r="T198" s="247"/>
      <c r="U198" s="247"/>
      <c r="V198" s="247"/>
    </row>
    <row r="199" spans="1:22" ht="26.25" customHeight="1">
      <c r="A199" s="252" t="s">
        <v>90</v>
      </c>
      <c r="B199" s="37">
        <v>5651</v>
      </c>
      <c r="C199" s="38" t="str">
        <f>VLOOKUP($B199,SINAPI!$C$6:J6142,2,0)</f>
        <v>FORMA TABUA PARA CONCRETO EM FUNDACAO, C/ REAPROVEITAMENTO 5X.</v>
      </c>
      <c r="D199" s="39" t="str">
        <f>VLOOKUP($B199,SINAPI!$C$6:K6142,3,0)</f>
        <v>M2</v>
      </c>
      <c r="E199" s="257"/>
      <c r="F199" s="257"/>
      <c r="G199" s="257"/>
      <c r="H199" s="257"/>
      <c r="I199" s="274">
        <f>I205</f>
        <v>65.2</v>
      </c>
      <c r="J199" s="244"/>
      <c r="K199" s="245">
        <f>VLOOKUP($B199,SINAPI!$C$6:R6142,4,0)</f>
        <v>23.33</v>
      </c>
      <c r="L199" s="245"/>
      <c r="M199" s="245"/>
      <c r="N199" s="245"/>
      <c r="O199" s="245"/>
      <c r="P199" s="246">
        <f>SUM(K199:O199)</f>
        <v>23.33</v>
      </c>
      <c r="Q199" s="247"/>
      <c r="R199" s="247"/>
      <c r="S199" s="247"/>
      <c r="T199" s="247"/>
      <c r="U199" s="247"/>
      <c r="V199" s="247"/>
    </row>
    <row r="200" spans="1:22">
      <c r="A200" s="252"/>
      <c r="B200" s="39"/>
      <c r="C200" s="255"/>
      <c r="D200" s="254"/>
      <c r="E200" s="257"/>
      <c r="F200" s="257"/>
      <c r="G200" s="257"/>
      <c r="H200" s="257"/>
      <c r="I200" s="257"/>
      <c r="J200" s="244"/>
      <c r="K200" s="258"/>
      <c r="L200" s="258"/>
      <c r="M200" s="258"/>
      <c r="N200" s="258"/>
      <c r="O200" s="258"/>
      <c r="P200" s="259"/>
      <c r="Q200" s="247"/>
      <c r="R200" s="247"/>
      <c r="S200" s="247"/>
      <c r="T200" s="247"/>
      <c r="U200" s="247"/>
      <c r="V200" s="247"/>
    </row>
    <row r="201" spans="1:22" s="348" customFormat="1">
      <c r="A201" s="252"/>
      <c r="B201" s="39"/>
      <c r="C201" s="310" t="s">
        <v>384</v>
      </c>
      <c r="D201" s="252"/>
      <c r="E201" s="257"/>
      <c r="F201" s="262"/>
      <c r="G201" s="257"/>
      <c r="H201" s="257">
        <v>16.399999999999999</v>
      </c>
      <c r="I201" s="262">
        <f>PRODUCT(E201:H201)</f>
        <v>16.399999999999999</v>
      </c>
      <c r="J201" s="244"/>
      <c r="K201" s="258"/>
      <c r="L201" s="258"/>
      <c r="M201" s="258"/>
      <c r="N201" s="258"/>
      <c r="O201" s="258"/>
      <c r="P201" s="259"/>
      <c r="Q201" s="247"/>
      <c r="R201" s="247"/>
      <c r="S201" s="247"/>
      <c r="T201" s="247"/>
      <c r="U201" s="247"/>
      <c r="V201" s="247"/>
    </row>
    <row r="202" spans="1:22" s="348" customFormat="1">
      <c r="A202" s="252"/>
      <c r="B202" s="39"/>
      <c r="C202" s="310" t="s">
        <v>385</v>
      </c>
      <c r="D202" s="252"/>
      <c r="E202" s="257"/>
      <c r="F202" s="262"/>
      <c r="G202" s="257"/>
      <c r="H202" s="257">
        <v>16.399999999999999</v>
      </c>
      <c r="I202" s="262">
        <f>PRODUCT(E202:H202)</f>
        <v>16.399999999999999</v>
      </c>
      <c r="J202" s="244"/>
      <c r="K202" s="258"/>
      <c r="L202" s="258"/>
      <c r="M202" s="258"/>
      <c r="N202" s="258"/>
      <c r="O202" s="258"/>
      <c r="P202" s="259"/>
      <c r="Q202" s="247"/>
      <c r="R202" s="247"/>
      <c r="S202" s="247"/>
      <c r="T202" s="247"/>
      <c r="U202" s="247"/>
      <c r="V202" s="247"/>
    </row>
    <row r="203" spans="1:22" s="348" customFormat="1">
      <c r="A203" s="252"/>
      <c r="B203" s="39"/>
      <c r="C203" s="310" t="s">
        <v>386</v>
      </c>
      <c r="D203" s="252"/>
      <c r="E203" s="257"/>
      <c r="F203" s="262"/>
      <c r="G203" s="257">
        <v>3</v>
      </c>
      <c r="H203" s="257">
        <v>10.8</v>
      </c>
      <c r="I203" s="262">
        <f>PRODUCT(E203:H203)</f>
        <v>32.400000000000006</v>
      </c>
      <c r="J203" s="244"/>
      <c r="K203" s="258"/>
      <c r="L203" s="258"/>
      <c r="M203" s="258"/>
      <c r="N203" s="258"/>
      <c r="O203" s="258"/>
      <c r="P203" s="259"/>
      <c r="Q203" s="247"/>
      <c r="R203" s="247"/>
      <c r="S203" s="247"/>
      <c r="T203" s="247"/>
      <c r="U203" s="247"/>
      <c r="V203" s="247"/>
    </row>
    <row r="204" spans="1:22" s="348" customFormat="1">
      <c r="A204" s="252"/>
      <c r="B204" s="39"/>
      <c r="C204" s="310"/>
      <c r="D204" s="252"/>
      <c r="E204" s="257"/>
      <c r="F204" s="262"/>
      <c r="G204" s="257"/>
      <c r="H204" s="257"/>
      <c r="I204" s="262"/>
      <c r="J204" s="244"/>
      <c r="K204" s="258"/>
      <c r="L204" s="258"/>
      <c r="M204" s="258"/>
      <c r="N204" s="258"/>
      <c r="O204" s="258"/>
      <c r="P204" s="259"/>
      <c r="Q204" s="247"/>
      <c r="R204" s="247"/>
      <c r="S204" s="247"/>
      <c r="T204" s="247"/>
      <c r="U204" s="247"/>
      <c r="V204" s="247"/>
    </row>
    <row r="205" spans="1:22" ht="15.75" customHeight="1">
      <c r="A205" s="252"/>
      <c r="B205" s="39"/>
      <c r="C205" s="310"/>
      <c r="D205" s="254"/>
      <c r="E205" s="257"/>
      <c r="F205" s="257"/>
      <c r="G205" s="257"/>
      <c r="H205" s="343" t="s">
        <v>253</v>
      </c>
      <c r="I205" s="344">
        <f>SUM(I201:I204)</f>
        <v>65.2</v>
      </c>
      <c r="J205" s="244"/>
      <c r="K205" s="258"/>
      <c r="L205" s="258"/>
      <c r="M205" s="258"/>
      <c r="N205" s="258"/>
      <c r="O205" s="258"/>
      <c r="P205" s="259"/>
      <c r="Q205" s="247"/>
      <c r="R205" s="247"/>
      <c r="S205" s="247"/>
      <c r="T205" s="247"/>
      <c r="U205" s="247"/>
      <c r="V205" s="247"/>
    </row>
    <row r="206" spans="1:22">
      <c r="A206" s="252"/>
      <c r="B206" s="39"/>
      <c r="C206" s="253"/>
      <c r="D206" s="254"/>
      <c r="E206" s="257"/>
      <c r="F206" s="257"/>
      <c r="G206" s="257"/>
      <c r="H206" s="294"/>
      <c r="I206" s="294"/>
      <c r="J206" s="244"/>
      <c r="K206" s="258"/>
      <c r="L206" s="258"/>
      <c r="M206" s="258"/>
      <c r="N206" s="258"/>
      <c r="O206" s="258"/>
      <c r="P206" s="259"/>
      <c r="Q206" s="247"/>
      <c r="R206" s="247"/>
      <c r="S206" s="247"/>
      <c r="T206" s="247"/>
      <c r="U206" s="247"/>
      <c r="V206" s="247"/>
    </row>
    <row r="207" spans="1:22" ht="27" customHeight="1">
      <c r="A207" s="252" t="s">
        <v>92</v>
      </c>
      <c r="B207" s="37" t="s">
        <v>93</v>
      </c>
      <c r="C207" s="38" t="str">
        <f>VLOOKUP($B207,SINAPI!$C$6:J6121,2,0)</f>
        <v>CONCRETO USINADO BOMBEÁVEL FCK=30MPA, INCLUSIVE LANCAMENTO E ADENSAMENTO</v>
      </c>
      <c r="D207" s="39" t="str">
        <f>VLOOKUP($B207,SINAPI!$C$6:K6121,3,0)</f>
        <v>M3</v>
      </c>
      <c r="E207" s="257"/>
      <c r="F207" s="257"/>
      <c r="G207" s="257"/>
      <c r="H207" s="257"/>
      <c r="I207" s="274">
        <f>I213</f>
        <v>35.6</v>
      </c>
      <c r="J207" s="244"/>
      <c r="K207" s="245">
        <f>VLOOKUP($B207,SINAPI!$C$6:R6121,4,0)</f>
        <v>382.27449999999999</v>
      </c>
      <c r="L207" s="245"/>
      <c r="M207" s="245"/>
      <c r="N207" s="245"/>
      <c r="O207" s="245"/>
      <c r="P207" s="246">
        <f>SUM(K207:O207)</f>
        <v>382.27449999999999</v>
      </c>
      <c r="Q207" s="247"/>
      <c r="R207" s="247"/>
      <c r="S207" s="247"/>
      <c r="T207" s="247"/>
      <c r="U207" s="247"/>
      <c r="V207" s="247"/>
    </row>
    <row r="208" spans="1:22">
      <c r="A208" s="252"/>
      <c r="B208" s="37"/>
      <c r="C208" s="38"/>
      <c r="D208" s="39"/>
      <c r="E208" s="257"/>
      <c r="F208" s="257"/>
      <c r="G208" s="257"/>
      <c r="H208" s="257"/>
      <c r="I208" s="274"/>
      <c r="J208" s="244"/>
      <c r="K208" s="258"/>
      <c r="L208" s="258"/>
      <c r="M208" s="258"/>
      <c r="N208" s="258"/>
      <c r="O208" s="258"/>
      <c r="P208" s="259"/>
      <c r="Q208" s="247"/>
      <c r="R208" s="247"/>
      <c r="S208" s="247"/>
      <c r="T208" s="247"/>
      <c r="U208" s="247"/>
      <c r="V208" s="247"/>
    </row>
    <row r="209" spans="1:22">
      <c r="A209" s="252"/>
      <c r="B209" s="37"/>
      <c r="C209" s="310" t="s">
        <v>384</v>
      </c>
      <c r="D209" s="252"/>
      <c r="E209" s="257"/>
      <c r="F209" s="262"/>
      <c r="G209" s="257"/>
      <c r="H209" s="257">
        <v>11.47</v>
      </c>
      <c r="I209" s="262">
        <f>PRODUCT(E209:H209)</f>
        <v>11.47</v>
      </c>
      <c r="J209" s="244"/>
      <c r="K209" s="258"/>
      <c r="L209" s="258"/>
      <c r="M209" s="258"/>
      <c r="N209" s="258"/>
      <c r="O209" s="258"/>
      <c r="P209" s="259"/>
      <c r="Q209" s="247"/>
      <c r="R209" s="247"/>
      <c r="S209" s="247"/>
      <c r="T209" s="247"/>
      <c r="U209" s="247"/>
      <c r="V209" s="247"/>
    </row>
    <row r="210" spans="1:22">
      <c r="A210" s="252"/>
      <c r="B210" s="37"/>
      <c r="C210" s="310" t="s">
        <v>385</v>
      </c>
      <c r="D210" s="252"/>
      <c r="E210" s="257"/>
      <c r="F210" s="262"/>
      <c r="G210" s="257"/>
      <c r="H210" s="257">
        <v>11.47</v>
      </c>
      <c r="I210" s="262">
        <f>PRODUCT(E210:H210)</f>
        <v>11.47</v>
      </c>
      <c r="J210" s="244"/>
      <c r="K210" s="258"/>
      <c r="L210" s="258"/>
      <c r="M210" s="258"/>
      <c r="N210" s="258"/>
      <c r="O210" s="258"/>
      <c r="P210" s="259"/>
      <c r="Q210" s="247"/>
      <c r="R210" s="247"/>
      <c r="S210" s="247"/>
      <c r="T210" s="247"/>
      <c r="U210" s="247"/>
      <c r="V210" s="247"/>
    </row>
    <row r="211" spans="1:22">
      <c r="A211" s="252"/>
      <c r="B211" s="37"/>
      <c r="C211" s="310" t="s">
        <v>386</v>
      </c>
      <c r="D211" s="39"/>
      <c r="E211" s="257"/>
      <c r="F211" s="262"/>
      <c r="G211" s="257">
        <v>3</v>
      </c>
      <c r="H211" s="257">
        <v>4.22</v>
      </c>
      <c r="I211" s="257">
        <f>PRODUCT(E211:H211)</f>
        <v>12.66</v>
      </c>
      <c r="J211" s="244"/>
      <c r="K211" s="258"/>
      <c r="L211" s="258"/>
      <c r="M211" s="258"/>
      <c r="N211" s="258"/>
      <c r="O211" s="258"/>
      <c r="P211" s="259"/>
      <c r="Q211" s="247"/>
      <c r="R211" s="247"/>
      <c r="S211" s="247"/>
      <c r="T211" s="247"/>
      <c r="U211" s="247"/>
      <c r="V211" s="247"/>
    </row>
    <row r="212" spans="1:22">
      <c r="A212" s="252"/>
      <c r="B212" s="37"/>
      <c r="C212" s="310"/>
      <c r="D212" s="39"/>
      <c r="E212" s="257"/>
      <c r="F212" s="262"/>
      <c r="G212" s="257"/>
      <c r="H212" s="312"/>
      <c r="I212" s="257"/>
      <c r="J212" s="244"/>
      <c r="K212" s="258"/>
      <c r="L212" s="258"/>
      <c r="M212" s="258"/>
      <c r="N212" s="258"/>
      <c r="O212" s="258"/>
      <c r="P212" s="259"/>
      <c r="Q212" s="247"/>
      <c r="R212" s="247"/>
      <c r="S212" s="247"/>
      <c r="T212" s="247"/>
      <c r="U212" s="247"/>
      <c r="V212" s="247"/>
    </row>
    <row r="213" spans="1:22" ht="15.75" customHeight="1">
      <c r="A213" s="252"/>
      <c r="B213" s="37"/>
      <c r="C213" s="38"/>
      <c r="D213" s="39"/>
      <c r="E213" s="257"/>
      <c r="F213" s="257"/>
      <c r="G213" s="257"/>
      <c r="H213" s="343" t="s">
        <v>387</v>
      </c>
      <c r="I213" s="344">
        <f>SUM(I209:I212)</f>
        <v>35.6</v>
      </c>
      <c r="J213" s="244"/>
      <c r="K213" s="258"/>
      <c r="L213" s="258"/>
      <c r="M213" s="258"/>
      <c r="N213" s="258"/>
      <c r="O213" s="258"/>
      <c r="P213" s="259"/>
      <c r="Q213" s="247"/>
      <c r="R213" s="247"/>
      <c r="S213" s="247"/>
      <c r="T213" s="247"/>
      <c r="U213" s="247"/>
      <c r="V213" s="247"/>
    </row>
    <row r="214" spans="1:22">
      <c r="A214" s="252"/>
      <c r="B214" s="39"/>
      <c r="C214" s="253"/>
      <c r="D214" s="254"/>
      <c r="E214" s="250"/>
      <c r="F214" s="250"/>
      <c r="G214" s="250"/>
      <c r="H214" s="347"/>
      <c r="I214" s="296"/>
      <c r="J214" s="244"/>
      <c r="K214" s="258"/>
      <c r="L214" s="258"/>
      <c r="M214" s="258"/>
      <c r="N214" s="258"/>
      <c r="O214" s="258"/>
      <c r="P214" s="259"/>
      <c r="Q214" s="247"/>
      <c r="R214" s="247"/>
      <c r="S214" s="247"/>
      <c r="T214" s="247"/>
      <c r="U214" s="247"/>
      <c r="V214" s="247"/>
    </row>
    <row r="215" spans="1:22">
      <c r="A215" s="248" t="s">
        <v>95</v>
      </c>
      <c r="B215" s="339"/>
      <c r="C215" s="340" t="s">
        <v>96</v>
      </c>
      <c r="D215" s="254"/>
      <c r="E215" s="257"/>
      <c r="F215" s="257"/>
      <c r="G215" s="257"/>
      <c r="H215" s="257"/>
      <c r="I215" s="257"/>
      <c r="J215" s="244"/>
      <c r="K215" s="258"/>
      <c r="L215" s="258"/>
      <c r="M215" s="258"/>
      <c r="N215" s="258"/>
      <c r="O215" s="258"/>
      <c r="P215" s="259"/>
      <c r="Q215" s="247"/>
      <c r="R215" s="247"/>
      <c r="S215" s="247"/>
      <c r="T215" s="247"/>
      <c r="U215" s="247"/>
      <c r="V215" s="247"/>
    </row>
    <row r="216" spans="1:22" ht="25.5">
      <c r="A216" s="252" t="s">
        <v>97</v>
      </c>
      <c r="B216" s="37" t="s">
        <v>388</v>
      </c>
      <c r="C216" s="38" t="str">
        <f>VLOOKUP($B216,SINAPI!$C$6:J6129,2,0)</f>
        <v>FABRICAÇÃO DE FÔRMA PARA ESTRUTURAS, EM CHAPA DE MADEIRA COMPENSADA PLASTIFICADA, E = 12 MM.</v>
      </c>
      <c r="D216" s="39" t="str">
        <f>VLOOKUP($B216,SINAPI!$C$6:K6129,3,0)</f>
        <v>M2</v>
      </c>
      <c r="E216" s="257"/>
      <c r="F216" s="257"/>
      <c r="G216" s="257"/>
      <c r="H216" s="257"/>
      <c r="I216" s="274">
        <f>I230</f>
        <v>853.81</v>
      </c>
      <c r="J216" s="244"/>
      <c r="K216" s="245">
        <f>VLOOKUP($B216,SINAPI!$C$6:R6129,4,0)</f>
        <v>60.880869999999987</v>
      </c>
      <c r="L216" s="245"/>
      <c r="M216" s="245"/>
      <c r="N216" s="245"/>
      <c r="O216" s="245"/>
      <c r="P216" s="246">
        <f>SUM(K216:O216)</f>
        <v>60.880869999999987</v>
      </c>
      <c r="Q216" s="247"/>
      <c r="R216" s="247"/>
      <c r="S216" s="247"/>
      <c r="T216" s="247"/>
      <c r="U216" s="247"/>
      <c r="V216" s="247"/>
    </row>
    <row r="217" spans="1:22">
      <c r="A217" s="252"/>
      <c r="B217" s="37"/>
      <c r="C217" s="38"/>
      <c r="D217" s="39"/>
      <c r="E217" s="257"/>
      <c r="F217" s="257"/>
      <c r="G217" s="257"/>
      <c r="H217" s="257"/>
      <c r="I217" s="274"/>
      <c r="J217" s="244"/>
      <c r="K217" s="258"/>
      <c r="L217" s="258"/>
      <c r="M217" s="258"/>
      <c r="N217" s="258"/>
      <c r="O217" s="258"/>
      <c r="P217" s="259"/>
      <c r="Q217" s="247"/>
      <c r="R217" s="247"/>
      <c r="S217" s="247"/>
      <c r="T217" s="247"/>
      <c r="U217" s="247"/>
      <c r="V217" s="247"/>
    </row>
    <row r="218" spans="1:22">
      <c r="A218" s="252"/>
      <c r="B218" s="39"/>
      <c r="C218" s="310" t="s">
        <v>389</v>
      </c>
      <c r="D218" s="254"/>
      <c r="E218" s="257"/>
      <c r="F218" s="257"/>
      <c r="G218" s="257"/>
      <c r="H218" s="257"/>
      <c r="I218" s="257">
        <f t="shared" ref="I218:I225" si="2">PRODUCT(E218:H218)</f>
        <v>0</v>
      </c>
      <c r="J218" s="244"/>
      <c r="K218" s="258"/>
      <c r="L218" s="258"/>
      <c r="M218" s="258"/>
      <c r="N218" s="258"/>
      <c r="O218" s="258"/>
      <c r="P218" s="259"/>
      <c r="Q218" s="247"/>
      <c r="R218" s="247"/>
      <c r="S218" s="247"/>
      <c r="T218" s="247"/>
      <c r="U218" s="247"/>
      <c r="V218" s="247"/>
    </row>
    <row r="219" spans="1:22">
      <c r="A219" s="252"/>
      <c r="B219" s="39"/>
      <c r="C219" s="253" t="s">
        <v>390</v>
      </c>
      <c r="D219" s="254"/>
      <c r="E219" s="257"/>
      <c r="F219" s="257"/>
      <c r="G219" s="257"/>
      <c r="H219" s="257">
        <v>197.4</v>
      </c>
      <c r="I219" s="257">
        <f t="shared" si="2"/>
        <v>197.4</v>
      </c>
      <c r="J219" s="244"/>
      <c r="K219" s="258"/>
      <c r="L219" s="258"/>
      <c r="M219" s="258"/>
      <c r="N219" s="258"/>
      <c r="O219" s="258"/>
      <c r="P219" s="259"/>
      <c r="Q219" s="247"/>
      <c r="R219" s="247"/>
      <c r="S219" s="247"/>
      <c r="T219" s="247"/>
      <c r="U219" s="247"/>
      <c r="V219" s="247"/>
    </row>
    <row r="220" spans="1:22">
      <c r="A220" s="252"/>
      <c r="B220" s="39"/>
      <c r="C220" s="253" t="s">
        <v>391</v>
      </c>
      <c r="D220" s="254"/>
      <c r="E220" s="257"/>
      <c r="F220" s="257"/>
      <c r="G220" s="257"/>
      <c r="H220" s="257">
        <v>87.95</v>
      </c>
      <c r="I220" s="257">
        <f t="shared" si="2"/>
        <v>87.95</v>
      </c>
      <c r="J220" s="244"/>
      <c r="K220" s="258"/>
      <c r="L220" s="258"/>
      <c r="M220" s="258"/>
      <c r="N220" s="258"/>
      <c r="O220" s="258"/>
      <c r="P220" s="259"/>
      <c r="Q220" s="247"/>
      <c r="R220" s="247"/>
      <c r="S220" s="247"/>
      <c r="T220" s="247"/>
      <c r="U220" s="247"/>
      <c r="V220" s="247"/>
    </row>
    <row r="221" spans="1:22">
      <c r="A221" s="252"/>
      <c r="B221" s="39"/>
      <c r="C221" s="253" t="s">
        <v>392</v>
      </c>
      <c r="D221" s="254"/>
      <c r="E221" s="257"/>
      <c r="F221" s="257"/>
      <c r="G221" s="257"/>
      <c r="H221" s="257">
        <v>24.51</v>
      </c>
      <c r="I221" s="257">
        <f t="shared" si="2"/>
        <v>24.51</v>
      </c>
      <c r="J221" s="244"/>
      <c r="K221" s="258"/>
      <c r="L221" s="258"/>
      <c r="M221" s="258"/>
      <c r="N221" s="258"/>
      <c r="O221" s="258"/>
      <c r="P221" s="259"/>
      <c r="Q221" s="247"/>
      <c r="R221" s="247"/>
      <c r="S221" s="247"/>
      <c r="T221" s="247"/>
      <c r="U221" s="247"/>
      <c r="V221" s="247"/>
    </row>
    <row r="222" spans="1:22">
      <c r="A222" s="252"/>
      <c r="B222" s="39"/>
      <c r="C222" s="310" t="s">
        <v>393</v>
      </c>
      <c r="D222" s="254"/>
      <c r="E222" s="257"/>
      <c r="F222" s="257"/>
      <c r="G222" s="257"/>
      <c r="H222" s="257"/>
      <c r="I222" s="257">
        <f t="shared" si="2"/>
        <v>0</v>
      </c>
      <c r="J222" s="244"/>
      <c r="K222" s="258"/>
      <c r="L222" s="258"/>
      <c r="M222" s="258"/>
      <c r="N222" s="258"/>
      <c r="O222" s="258"/>
      <c r="P222" s="259"/>
      <c r="Q222" s="247"/>
      <c r="R222" s="247"/>
      <c r="S222" s="247"/>
      <c r="T222" s="247"/>
      <c r="U222" s="247"/>
      <c r="V222" s="247"/>
    </row>
    <row r="223" spans="1:22">
      <c r="A223" s="252"/>
      <c r="B223" s="39"/>
      <c r="C223" s="253" t="s">
        <v>390</v>
      </c>
      <c r="D223" s="254"/>
      <c r="E223" s="257"/>
      <c r="F223" s="257"/>
      <c r="G223" s="257"/>
      <c r="H223" s="257">
        <v>197.4</v>
      </c>
      <c r="I223" s="257">
        <f t="shared" si="2"/>
        <v>197.4</v>
      </c>
      <c r="J223" s="244"/>
      <c r="K223" s="258"/>
      <c r="L223" s="258"/>
      <c r="M223" s="258"/>
      <c r="N223" s="258"/>
      <c r="O223" s="258"/>
      <c r="P223" s="259"/>
      <c r="Q223" s="247"/>
      <c r="R223" s="247"/>
      <c r="S223" s="247"/>
      <c r="T223" s="247"/>
      <c r="U223" s="247"/>
      <c r="V223" s="247"/>
    </row>
    <row r="224" spans="1:22">
      <c r="A224" s="252"/>
      <c r="B224" s="39"/>
      <c r="C224" s="253" t="s">
        <v>391</v>
      </c>
      <c r="D224" s="254"/>
      <c r="E224" s="257"/>
      <c r="F224" s="257"/>
      <c r="G224" s="257"/>
      <c r="H224" s="257">
        <v>136.76</v>
      </c>
      <c r="I224" s="257">
        <f t="shared" si="2"/>
        <v>136.76</v>
      </c>
      <c r="J224" s="244"/>
      <c r="K224" s="258"/>
      <c r="L224" s="258"/>
      <c r="M224" s="258"/>
      <c r="N224" s="258"/>
      <c r="O224" s="258"/>
      <c r="P224" s="259"/>
      <c r="Q224" s="247"/>
      <c r="R224" s="247"/>
      <c r="S224" s="247"/>
      <c r="T224" s="247"/>
      <c r="U224" s="247"/>
      <c r="V224" s="247"/>
    </row>
    <row r="225" spans="1:22">
      <c r="A225" s="252"/>
      <c r="B225" s="39"/>
      <c r="C225" s="253" t="s">
        <v>392</v>
      </c>
      <c r="D225" s="254"/>
      <c r="E225" s="257"/>
      <c r="F225" s="257"/>
      <c r="G225" s="257"/>
      <c r="H225" s="257">
        <v>24.51</v>
      </c>
      <c r="I225" s="257">
        <f t="shared" si="2"/>
        <v>24.51</v>
      </c>
      <c r="J225" s="244"/>
      <c r="K225" s="258"/>
      <c r="L225" s="258"/>
      <c r="M225" s="258"/>
      <c r="N225" s="258"/>
      <c r="O225" s="258"/>
      <c r="P225" s="259"/>
      <c r="Q225" s="247"/>
      <c r="R225" s="247"/>
      <c r="S225" s="247"/>
      <c r="T225" s="247"/>
      <c r="U225" s="247"/>
      <c r="V225" s="247"/>
    </row>
    <row r="226" spans="1:22">
      <c r="A226" s="252"/>
      <c r="B226" s="39"/>
      <c r="C226" s="310" t="s">
        <v>394</v>
      </c>
      <c r="D226" s="254"/>
      <c r="E226" s="257"/>
      <c r="F226" s="257"/>
      <c r="G226" s="257"/>
      <c r="H226" s="257"/>
      <c r="I226" s="257"/>
      <c r="J226" s="244"/>
      <c r="K226" s="258"/>
      <c r="L226" s="258"/>
      <c r="M226" s="258"/>
      <c r="N226" s="258"/>
      <c r="O226" s="258"/>
      <c r="P226" s="259"/>
      <c r="Q226" s="247"/>
      <c r="R226" s="247"/>
      <c r="S226" s="247"/>
      <c r="T226" s="247"/>
      <c r="U226" s="247"/>
      <c r="V226" s="247"/>
    </row>
    <row r="227" spans="1:22">
      <c r="A227" s="252"/>
      <c r="B227" s="39"/>
      <c r="C227" s="253" t="s">
        <v>395</v>
      </c>
      <c r="D227" s="254"/>
      <c r="E227" s="257"/>
      <c r="F227" s="257"/>
      <c r="G227" s="257">
        <v>3</v>
      </c>
      <c r="H227" s="257">
        <v>45.6</v>
      </c>
      <c r="I227" s="257">
        <f>PRODUCT(E227:H227)</f>
        <v>136.80000000000001</v>
      </c>
      <c r="J227" s="244"/>
      <c r="K227" s="258"/>
      <c r="L227" s="258"/>
      <c r="M227" s="258"/>
      <c r="N227" s="258"/>
      <c r="O227" s="258"/>
      <c r="P227" s="259"/>
      <c r="Q227" s="247"/>
      <c r="R227" s="247"/>
      <c r="S227" s="247"/>
      <c r="T227" s="247"/>
      <c r="U227" s="247"/>
      <c r="V227" s="247"/>
    </row>
    <row r="228" spans="1:22">
      <c r="A228" s="252"/>
      <c r="B228" s="39"/>
      <c r="C228" s="253" t="s">
        <v>392</v>
      </c>
      <c r="D228" s="254"/>
      <c r="E228" s="257"/>
      <c r="F228" s="257"/>
      <c r="G228" s="257">
        <v>3</v>
      </c>
      <c r="H228" s="257">
        <v>16.16</v>
      </c>
      <c r="I228" s="257">
        <f>PRODUCT(E228:H228)</f>
        <v>48.480000000000004</v>
      </c>
      <c r="J228" s="244"/>
      <c r="K228" s="258"/>
      <c r="L228" s="258"/>
      <c r="M228" s="258"/>
      <c r="N228" s="258"/>
      <c r="O228" s="258"/>
      <c r="P228" s="259"/>
      <c r="Q228" s="247"/>
      <c r="R228" s="247"/>
      <c r="S228" s="247"/>
      <c r="T228" s="247"/>
      <c r="U228" s="247"/>
      <c r="V228" s="247"/>
    </row>
    <row r="229" spans="1:22">
      <c r="A229" s="252"/>
      <c r="B229" s="39"/>
      <c r="C229" s="260"/>
      <c r="D229" s="254"/>
      <c r="E229" s="257"/>
      <c r="F229" s="257"/>
      <c r="G229" s="257"/>
      <c r="H229" s="257"/>
      <c r="I229" s="257">
        <f>H229</f>
        <v>0</v>
      </c>
      <c r="J229" s="244"/>
      <c r="K229" s="258"/>
      <c r="L229" s="258"/>
      <c r="M229" s="258"/>
      <c r="N229" s="258"/>
      <c r="O229" s="258"/>
      <c r="P229" s="259"/>
      <c r="Q229" s="247"/>
      <c r="R229" s="247"/>
      <c r="S229" s="247"/>
      <c r="T229" s="247"/>
      <c r="U229" s="247"/>
      <c r="V229" s="247"/>
    </row>
    <row r="230" spans="1:22">
      <c r="A230" s="252"/>
      <c r="B230" s="39"/>
      <c r="C230" s="260"/>
      <c r="D230" s="254"/>
      <c r="E230" s="257"/>
      <c r="F230" s="257"/>
      <c r="G230" s="257"/>
      <c r="H230" s="343" t="s">
        <v>253</v>
      </c>
      <c r="I230" s="344">
        <f>SUM(I218:I229)</f>
        <v>853.81</v>
      </c>
      <c r="J230" s="244"/>
      <c r="K230" s="258"/>
      <c r="L230" s="258"/>
      <c r="M230" s="258"/>
      <c r="N230" s="258"/>
      <c r="O230" s="258"/>
      <c r="P230" s="259"/>
      <c r="Q230" s="247"/>
      <c r="R230" s="247"/>
      <c r="S230" s="247"/>
      <c r="T230" s="247"/>
      <c r="U230" s="247"/>
      <c r="V230" s="247"/>
    </row>
    <row r="231" spans="1:22">
      <c r="A231" s="252"/>
      <c r="B231" s="39"/>
      <c r="C231" s="253"/>
      <c r="D231" s="254"/>
      <c r="E231" s="257"/>
      <c r="F231" s="257"/>
      <c r="G231" s="257"/>
      <c r="H231" s="295"/>
      <c r="I231" s="296"/>
      <c r="J231" s="244"/>
      <c r="K231" s="258"/>
      <c r="L231" s="258"/>
      <c r="M231" s="258"/>
      <c r="N231" s="258"/>
      <c r="O231" s="258"/>
      <c r="P231" s="259"/>
      <c r="Q231" s="247"/>
      <c r="R231" s="247"/>
      <c r="S231" s="247"/>
      <c r="T231" s="247"/>
      <c r="U231" s="247"/>
      <c r="V231" s="247"/>
    </row>
    <row r="232" spans="1:22" ht="38.25">
      <c r="A232" s="252" t="s">
        <v>98</v>
      </c>
      <c r="B232" s="37" t="s">
        <v>396</v>
      </c>
      <c r="C232" s="38" t="str">
        <f>VLOOKUP($B232,SINAPI!$C$6:J6145,2,0)</f>
        <v>MONTAGEM E DESMONTAGEM DE FÔRMA EM ESTRUTURAS, EM CHAPA DE MADEIRA COMPENSADA PLASTIFICADA, 4 UTILIZAÇÕES.</v>
      </c>
      <c r="D232" s="39" t="str">
        <f>VLOOKUP($B232,SINAPI!$C$6:K6145,3,0)</f>
        <v>M2</v>
      </c>
      <c r="E232" s="257"/>
      <c r="F232" s="257"/>
      <c r="G232" s="257"/>
      <c r="H232" s="257"/>
      <c r="I232" s="274">
        <f>I246</f>
        <v>853.81</v>
      </c>
      <c r="J232" s="244"/>
      <c r="K232" s="245">
        <f>VLOOKUP($B232,SINAPI!$C$6:R6145,4,0)</f>
        <v>27.497700000000002</v>
      </c>
      <c r="L232" s="245"/>
      <c r="M232" s="245"/>
      <c r="N232" s="245"/>
      <c r="O232" s="245"/>
      <c r="P232" s="246">
        <f>SUM(K232:O232)</f>
        <v>27.497700000000002</v>
      </c>
      <c r="Q232" s="247"/>
      <c r="R232" s="247"/>
      <c r="S232" s="247"/>
      <c r="T232" s="247"/>
      <c r="U232" s="247"/>
      <c r="V232" s="247"/>
    </row>
    <row r="233" spans="1:22">
      <c r="A233" s="252"/>
      <c r="B233" s="37"/>
      <c r="C233" s="38"/>
      <c r="D233" s="39"/>
      <c r="E233" s="257"/>
      <c r="F233" s="257"/>
      <c r="G233" s="257"/>
      <c r="H233" s="257"/>
      <c r="I233" s="274"/>
      <c r="J233" s="244"/>
      <c r="K233" s="258"/>
      <c r="L233" s="258"/>
      <c r="M233" s="258"/>
      <c r="N233" s="258"/>
      <c r="O233" s="258"/>
      <c r="P233" s="259"/>
      <c r="Q233" s="247"/>
      <c r="R233" s="247"/>
      <c r="S233" s="247"/>
      <c r="T233" s="247"/>
      <c r="U233" s="247"/>
      <c r="V233" s="247"/>
    </row>
    <row r="234" spans="1:22">
      <c r="A234" s="252"/>
      <c r="B234" s="39"/>
      <c r="C234" s="310" t="s">
        <v>389</v>
      </c>
      <c r="D234" s="254"/>
      <c r="E234" s="257"/>
      <c r="F234" s="257"/>
      <c r="G234" s="257"/>
      <c r="H234" s="257"/>
      <c r="I234" s="257">
        <f t="shared" ref="I234:I241" si="3">PRODUCT(E234:H234)</f>
        <v>0</v>
      </c>
      <c r="J234" s="244"/>
      <c r="K234" s="258"/>
      <c r="L234" s="258"/>
      <c r="M234" s="258"/>
      <c r="N234" s="258"/>
      <c r="O234" s="258"/>
      <c r="P234" s="259"/>
      <c r="Q234" s="247"/>
      <c r="R234" s="247"/>
      <c r="S234" s="247"/>
      <c r="T234" s="247"/>
      <c r="U234" s="247"/>
      <c r="V234" s="247"/>
    </row>
    <row r="235" spans="1:22">
      <c r="A235" s="252"/>
      <c r="B235" s="39"/>
      <c r="C235" s="253" t="s">
        <v>390</v>
      </c>
      <c r="D235" s="254"/>
      <c r="E235" s="257"/>
      <c r="F235" s="257"/>
      <c r="G235" s="257"/>
      <c r="H235" s="257">
        <f>H219</f>
        <v>197.4</v>
      </c>
      <c r="I235" s="257">
        <f t="shared" si="3"/>
        <v>197.4</v>
      </c>
      <c r="J235" s="244"/>
      <c r="K235" s="258"/>
      <c r="L235" s="258"/>
      <c r="M235" s="258"/>
      <c r="N235" s="258"/>
      <c r="O235" s="258"/>
      <c r="P235" s="259"/>
      <c r="Q235" s="247"/>
      <c r="R235" s="247"/>
      <c r="S235" s="247"/>
      <c r="T235" s="247"/>
      <c r="U235" s="247"/>
      <c r="V235" s="247"/>
    </row>
    <row r="236" spans="1:22">
      <c r="A236" s="252"/>
      <c r="B236" s="39"/>
      <c r="C236" s="253" t="s">
        <v>391</v>
      </c>
      <c r="D236" s="254"/>
      <c r="E236" s="257"/>
      <c r="F236" s="257"/>
      <c r="G236" s="257"/>
      <c r="H236" s="257">
        <f>H220</f>
        <v>87.95</v>
      </c>
      <c r="I236" s="257">
        <f t="shared" si="3"/>
        <v>87.95</v>
      </c>
      <c r="J236" s="244"/>
      <c r="K236" s="258"/>
      <c r="L236" s="258"/>
      <c r="M236" s="258"/>
      <c r="N236" s="258"/>
      <c r="O236" s="258"/>
      <c r="P236" s="259"/>
      <c r="Q236" s="247"/>
      <c r="R236" s="247"/>
      <c r="S236" s="247"/>
      <c r="T236" s="247"/>
      <c r="U236" s="247"/>
      <c r="V236" s="247"/>
    </row>
    <row r="237" spans="1:22">
      <c r="A237" s="252"/>
      <c r="B237" s="39"/>
      <c r="C237" s="253" t="s">
        <v>392</v>
      </c>
      <c r="D237" s="254"/>
      <c r="E237" s="257"/>
      <c r="F237" s="257"/>
      <c r="G237" s="257"/>
      <c r="H237" s="257">
        <f>H221</f>
        <v>24.51</v>
      </c>
      <c r="I237" s="257">
        <f t="shared" si="3"/>
        <v>24.51</v>
      </c>
      <c r="J237" s="244"/>
      <c r="K237" s="258"/>
      <c r="L237" s="258"/>
      <c r="M237" s="258"/>
      <c r="N237" s="258"/>
      <c r="O237" s="258"/>
      <c r="P237" s="259"/>
      <c r="Q237" s="247"/>
      <c r="R237" s="247"/>
      <c r="S237" s="247"/>
      <c r="T237" s="247"/>
      <c r="U237" s="247"/>
      <c r="V237" s="247"/>
    </row>
    <row r="238" spans="1:22">
      <c r="A238" s="252"/>
      <c r="B238" s="39"/>
      <c r="C238" s="310" t="s">
        <v>393</v>
      </c>
      <c r="D238" s="254"/>
      <c r="E238" s="257"/>
      <c r="F238" s="257"/>
      <c r="G238" s="257"/>
      <c r="H238" s="257"/>
      <c r="I238" s="257">
        <f t="shared" si="3"/>
        <v>0</v>
      </c>
      <c r="J238" s="244"/>
      <c r="K238" s="258"/>
      <c r="L238" s="258"/>
      <c r="M238" s="258"/>
      <c r="N238" s="258"/>
      <c r="O238" s="258"/>
      <c r="P238" s="259"/>
      <c r="Q238" s="247"/>
      <c r="R238" s="247"/>
      <c r="S238" s="247"/>
      <c r="T238" s="247"/>
      <c r="U238" s="247"/>
      <c r="V238" s="247"/>
    </row>
    <row r="239" spans="1:22">
      <c r="A239" s="252"/>
      <c r="B239" s="39"/>
      <c r="C239" s="253" t="s">
        <v>390</v>
      </c>
      <c r="D239" s="254"/>
      <c r="E239" s="257"/>
      <c r="F239" s="257"/>
      <c r="G239" s="257"/>
      <c r="H239" s="257">
        <f>H223</f>
        <v>197.4</v>
      </c>
      <c r="I239" s="257">
        <f t="shared" si="3"/>
        <v>197.4</v>
      </c>
      <c r="J239" s="244"/>
      <c r="K239" s="258"/>
      <c r="L239" s="258"/>
      <c r="M239" s="258"/>
      <c r="N239" s="258"/>
      <c r="O239" s="258"/>
      <c r="P239" s="259"/>
      <c r="Q239" s="247"/>
      <c r="R239" s="247"/>
      <c r="S239" s="247"/>
      <c r="T239" s="247"/>
      <c r="U239" s="247"/>
      <c r="V239" s="247"/>
    </row>
    <row r="240" spans="1:22">
      <c r="A240" s="252"/>
      <c r="B240" s="39"/>
      <c r="C240" s="253" t="s">
        <v>391</v>
      </c>
      <c r="D240" s="254"/>
      <c r="E240" s="257"/>
      <c r="F240" s="257"/>
      <c r="G240" s="257"/>
      <c r="H240" s="257">
        <f>H224</f>
        <v>136.76</v>
      </c>
      <c r="I240" s="257">
        <f t="shared" si="3"/>
        <v>136.76</v>
      </c>
      <c r="J240" s="244"/>
      <c r="K240" s="258"/>
      <c r="L240" s="258"/>
      <c r="M240" s="258"/>
      <c r="N240" s="258"/>
      <c r="O240" s="258"/>
      <c r="P240" s="259"/>
      <c r="Q240" s="247"/>
      <c r="R240" s="247"/>
      <c r="S240" s="247"/>
      <c r="T240" s="247"/>
      <c r="U240" s="247"/>
      <c r="V240" s="247"/>
    </row>
    <row r="241" spans="1:22">
      <c r="A241" s="252"/>
      <c r="B241" s="39"/>
      <c r="C241" s="253" t="s">
        <v>392</v>
      </c>
      <c r="D241" s="254"/>
      <c r="E241" s="257"/>
      <c r="F241" s="257"/>
      <c r="G241" s="257"/>
      <c r="H241" s="257">
        <f>H225</f>
        <v>24.51</v>
      </c>
      <c r="I241" s="257">
        <f t="shared" si="3"/>
        <v>24.51</v>
      </c>
      <c r="J241" s="244"/>
      <c r="K241" s="258"/>
      <c r="L241" s="258"/>
      <c r="M241" s="258"/>
      <c r="N241" s="258"/>
      <c r="O241" s="258"/>
      <c r="P241" s="259"/>
      <c r="Q241" s="247"/>
      <c r="R241" s="247"/>
      <c r="S241" s="247"/>
      <c r="T241" s="247"/>
      <c r="U241" s="247"/>
      <c r="V241" s="247"/>
    </row>
    <row r="242" spans="1:22">
      <c r="A242" s="252"/>
      <c r="B242" s="39"/>
      <c r="C242" s="310" t="s">
        <v>394</v>
      </c>
      <c r="D242" s="254"/>
      <c r="E242" s="257"/>
      <c r="F242" s="257"/>
      <c r="G242" s="257"/>
      <c r="H242" s="257"/>
      <c r="I242" s="257"/>
      <c r="J242" s="244"/>
      <c r="K242" s="258"/>
      <c r="L242" s="258"/>
      <c r="M242" s="258"/>
      <c r="N242" s="258"/>
      <c r="O242" s="258"/>
      <c r="P242" s="259"/>
      <c r="Q242" s="247"/>
      <c r="R242" s="247"/>
      <c r="S242" s="247"/>
      <c r="T242" s="247"/>
      <c r="U242" s="247"/>
      <c r="V242" s="247"/>
    </row>
    <row r="243" spans="1:22">
      <c r="A243" s="252"/>
      <c r="B243" s="39"/>
      <c r="C243" s="253" t="s">
        <v>395</v>
      </c>
      <c r="D243" s="254"/>
      <c r="E243" s="257"/>
      <c r="F243" s="257"/>
      <c r="G243" s="257">
        <v>3</v>
      </c>
      <c r="H243" s="257">
        <v>45.6</v>
      </c>
      <c r="I243" s="257">
        <f>PRODUCT(E243:H243)</f>
        <v>136.80000000000001</v>
      </c>
      <c r="J243" s="244"/>
      <c r="K243" s="258"/>
      <c r="L243" s="258"/>
      <c r="M243" s="258"/>
      <c r="N243" s="258"/>
      <c r="O243" s="258"/>
      <c r="P243" s="259"/>
      <c r="Q243" s="247"/>
      <c r="R243" s="247"/>
      <c r="S243" s="247"/>
      <c r="T243" s="247"/>
      <c r="U243" s="247"/>
      <c r="V243" s="247"/>
    </row>
    <row r="244" spans="1:22">
      <c r="A244" s="252"/>
      <c r="B244" s="39"/>
      <c r="C244" s="253" t="s">
        <v>392</v>
      </c>
      <c r="D244" s="254"/>
      <c r="E244" s="257"/>
      <c r="F244" s="257"/>
      <c r="G244" s="257">
        <v>3</v>
      </c>
      <c r="H244" s="257">
        <v>16.16</v>
      </c>
      <c r="I244" s="257">
        <f>PRODUCT(E244:H244)</f>
        <v>48.480000000000004</v>
      </c>
      <c r="J244" s="244"/>
      <c r="K244" s="258"/>
      <c r="L244" s="258"/>
      <c r="M244" s="258"/>
      <c r="N244" s="258"/>
      <c r="O244" s="258"/>
      <c r="P244" s="259"/>
      <c r="Q244" s="247"/>
      <c r="R244" s="247"/>
      <c r="S244" s="247"/>
      <c r="T244" s="247"/>
      <c r="U244" s="247"/>
      <c r="V244" s="247"/>
    </row>
    <row r="245" spans="1:22">
      <c r="A245" s="252"/>
      <c r="B245" s="39"/>
      <c r="C245" s="260"/>
      <c r="D245" s="254"/>
      <c r="E245" s="257"/>
      <c r="F245" s="257"/>
      <c r="G245" s="257"/>
      <c r="H245" s="257"/>
      <c r="I245" s="257">
        <f>H245</f>
        <v>0</v>
      </c>
      <c r="J245" s="244"/>
      <c r="K245" s="258"/>
      <c r="L245" s="258"/>
      <c r="M245" s="258"/>
      <c r="N245" s="258"/>
      <c r="O245" s="258"/>
      <c r="P245" s="259"/>
      <c r="Q245" s="247"/>
      <c r="R245" s="247"/>
      <c r="S245" s="247"/>
      <c r="T245" s="247"/>
      <c r="U245" s="247"/>
      <c r="V245" s="247"/>
    </row>
    <row r="246" spans="1:22">
      <c r="A246" s="252"/>
      <c r="B246" s="39"/>
      <c r="C246" s="260"/>
      <c r="D246" s="254"/>
      <c r="E246" s="257"/>
      <c r="F246" s="257"/>
      <c r="G246" s="257"/>
      <c r="H246" s="343" t="s">
        <v>253</v>
      </c>
      <c r="I246" s="344">
        <f>SUM(I234:I245)</f>
        <v>853.81</v>
      </c>
      <c r="J246" s="244"/>
      <c r="K246" s="258"/>
      <c r="L246" s="258"/>
      <c r="M246" s="258"/>
      <c r="N246" s="258"/>
      <c r="O246" s="258"/>
      <c r="P246" s="259"/>
      <c r="Q246" s="247"/>
      <c r="R246" s="247"/>
      <c r="S246" s="247"/>
      <c r="T246" s="247"/>
      <c r="U246" s="247"/>
      <c r="V246" s="247"/>
    </row>
    <row r="247" spans="1:22">
      <c r="A247" s="252"/>
      <c r="B247" s="39"/>
      <c r="C247" s="253"/>
      <c r="D247" s="254"/>
      <c r="E247" s="257"/>
      <c r="F247" s="257"/>
      <c r="G247" s="257"/>
      <c r="H247" s="295"/>
      <c r="I247" s="296"/>
      <c r="J247" s="244"/>
      <c r="K247" s="258"/>
      <c r="L247" s="258"/>
      <c r="M247" s="258"/>
      <c r="N247" s="258"/>
      <c r="O247" s="258"/>
      <c r="P247" s="259"/>
      <c r="Q247" s="247"/>
      <c r="R247" s="247"/>
      <c r="S247" s="247"/>
      <c r="T247" s="247"/>
      <c r="U247" s="247"/>
      <c r="V247" s="247"/>
    </row>
    <row r="248" spans="1:22" ht="39.75" customHeight="1">
      <c r="A248" s="252" t="s">
        <v>99</v>
      </c>
      <c r="B248" s="37" t="s">
        <v>397</v>
      </c>
      <c r="C248" s="38" t="str">
        <f>VLOOKUP($B248,SINAPI!$C$6:J6116,2,0)</f>
        <v>ARMAÇÃO EM UMA ESTRUTURA CONVENCIONAL DE CONCRETO ARMADO UTILIZANDO AÇO CA-50 DE 6.3 MM - AQUISIÇÃO / CORTE / DOBRA / MONTAGEM.</v>
      </c>
      <c r="D248" s="39" t="str">
        <f>VLOOKUP($B248,SINAPI!$C$6:K6116,3,0)</f>
        <v>KG</v>
      </c>
      <c r="E248" s="257"/>
      <c r="F248" s="257"/>
      <c r="G248" s="257"/>
      <c r="H248" s="257"/>
      <c r="I248" s="274">
        <f>I261</f>
        <v>6662</v>
      </c>
      <c r="J248" s="244"/>
      <c r="K248" s="245">
        <f>VLOOKUP($B248,SINAPI!$C$6:R6116,4,0)</f>
        <v>10.152878000000001</v>
      </c>
      <c r="L248" s="245"/>
      <c r="M248" s="245"/>
      <c r="N248" s="245"/>
      <c r="O248" s="245"/>
      <c r="P248" s="246">
        <f>SUM(K248:O248)</f>
        <v>10.152878000000001</v>
      </c>
      <c r="Q248" s="247"/>
      <c r="R248" s="247"/>
      <c r="S248" s="247"/>
      <c r="T248" s="247"/>
      <c r="U248" s="247"/>
      <c r="V248" s="247"/>
    </row>
    <row r="249" spans="1:22">
      <c r="A249" s="252"/>
      <c r="B249" s="39"/>
      <c r="C249" s="325"/>
      <c r="D249" s="254"/>
      <c r="E249" s="257"/>
      <c r="F249" s="257"/>
      <c r="G249" s="257"/>
      <c r="H249" s="257"/>
      <c r="I249" s="257"/>
      <c r="J249" s="244"/>
      <c r="K249" s="258"/>
      <c r="L249" s="258"/>
      <c r="M249" s="258"/>
      <c r="N249" s="258"/>
      <c r="O249" s="258"/>
      <c r="P249" s="259"/>
      <c r="Q249" s="247"/>
      <c r="R249" s="247"/>
      <c r="S249" s="247"/>
      <c r="T249" s="247"/>
      <c r="U249" s="247"/>
      <c r="V249" s="247"/>
    </row>
    <row r="250" spans="1:22" ht="16.5" customHeight="1">
      <c r="A250" s="252"/>
      <c r="B250" s="39"/>
      <c r="C250" s="349" t="s">
        <v>398</v>
      </c>
      <c r="D250" s="254"/>
      <c r="E250" s="257"/>
      <c r="F250" s="257"/>
      <c r="G250" s="257"/>
      <c r="H250" s="257"/>
      <c r="I250" s="257"/>
      <c r="J250" s="244"/>
      <c r="K250" s="258"/>
      <c r="L250" s="258"/>
      <c r="M250" s="258"/>
      <c r="N250" s="258"/>
      <c r="O250" s="258"/>
      <c r="P250" s="259"/>
      <c r="Q250" s="247"/>
      <c r="R250" s="247"/>
      <c r="S250" s="247"/>
      <c r="T250" s="247"/>
      <c r="U250" s="247"/>
      <c r="V250" s="247"/>
    </row>
    <row r="251" spans="1:22">
      <c r="A251" s="252"/>
      <c r="B251" s="39"/>
      <c r="C251" s="253" t="s">
        <v>399</v>
      </c>
      <c r="D251" s="254"/>
      <c r="E251" s="257"/>
      <c r="F251" s="257"/>
      <c r="G251" s="257"/>
      <c r="H251" s="257">
        <v>1709</v>
      </c>
      <c r="I251" s="257">
        <f t="shared" ref="I251:I260" si="4">PRODUCT(E251:H251)</f>
        <v>1709</v>
      </c>
      <c r="J251" s="244"/>
      <c r="K251" s="258"/>
      <c r="L251" s="258"/>
      <c r="M251" s="258"/>
      <c r="N251" s="258"/>
      <c r="O251" s="258"/>
      <c r="P251" s="259"/>
      <c r="Q251" s="247"/>
      <c r="R251" s="247"/>
      <c r="S251" s="247"/>
      <c r="T251" s="247"/>
      <c r="U251" s="247"/>
      <c r="V251" s="247"/>
    </row>
    <row r="252" spans="1:22" ht="18.75" customHeight="1">
      <c r="A252" s="252"/>
      <c r="B252" s="39"/>
      <c r="C252" s="349" t="s">
        <v>400</v>
      </c>
      <c r="D252" s="254"/>
      <c r="E252" s="257"/>
      <c r="F252" s="257"/>
      <c r="G252" s="257"/>
      <c r="H252" s="257"/>
      <c r="I252" s="257">
        <f t="shared" si="4"/>
        <v>0</v>
      </c>
      <c r="J252" s="244"/>
      <c r="K252" s="258"/>
      <c r="L252" s="258"/>
      <c r="M252" s="258"/>
      <c r="N252" s="258"/>
      <c r="O252" s="258"/>
      <c r="P252" s="259"/>
      <c r="Q252" s="247"/>
      <c r="R252" s="247"/>
      <c r="S252" s="247"/>
      <c r="T252" s="247"/>
      <c r="U252" s="247"/>
      <c r="V252" s="247"/>
    </row>
    <row r="253" spans="1:22">
      <c r="A253" s="252"/>
      <c r="B253" s="39"/>
      <c r="C253" s="253" t="s">
        <v>399</v>
      </c>
      <c r="D253" s="254"/>
      <c r="E253" s="257"/>
      <c r="F253" s="257"/>
      <c r="G253" s="257"/>
      <c r="H253" s="257">
        <v>1709</v>
      </c>
      <c r="I253" s="257">
        <f t="shared" si="4"/>
        <v>1709</v>
      </c>
      <c r="J253" s="244"/>
      <c r="K253" s="258"/>
      <c r="L253" s="258"/>
      <c r="M253" s="258"/>
      <c r="N253" s="258"/>
      <c r="O253" s="258"/>
      <c r="P253" s="259"/>
      <c r="Q253" s="247"/>
      <c r="R253" s="247"/>
      <c r="S253" s="247"/>
      <c r="T253" s="247"/>
      <c r="U253" s="247"/>
      <c r="V253" s="247"/>
    </row>
    <row r="254" spans="1:22" ht="25.5">
      <c r="A254" s="252"/>
      <c r="B254" s="39"/>
      <c r="C254" s="349" t="s">
        <v>401</v>
      </c>
      <c r="D254" s="254"/>
      <c r="E254" s="257"/>
      <c r="F254" s="257"/>
      <c r="G254" s="257"/>
      <c r="H254" s="257"/>
      <c r="I254" s="257">
        <f t="shared" si="4"/>
        <v>0</v>
      </c>
      <c r="J254" s="244"/>
      <c r="K254" s="258"/>
      <c r="L254" s="258"/>
      <c r="M254" s="258"/>
      <c r="N254" s="258"/>
      <c r="O254" s="258"/>
      <c r="P254" s="259"/>
      <c r="Q254" s="247"/>
      <c r="R254" s="247"/>
      <c r="S254" s="247"/>
      <c r="T254" s="247"/>
      <c r="U254" s="247"/>
      <c r="V254" s="247"/>
    </row>
    <row r="255" spans="1:22">
      <c r="A255" s="252"/>
      <c r="B255" s="39"/>
      <c r="C255" s="253" t="s">
        <v>399</v>
      </c>
      <c r="D255" s="254"/>
      <c r="E255" s="257"/>
      <c r="F255" s="257"/>
      <c r="G255" s="257"/>
      <c r="H255" s="257">
        <v>51</v>
      </c>
      <c r="I255" s="257">
        <f t="shared" si="4"/>
        <v>51</v>
      </c>
      <c r="J255" s="244"/>
      <c r="K255" s="258"/>
      <c r="L255" s="258"/>
      <c r="M255" s="258"/>
      <c r="N255" s="258"/>
      <c r="O255" s="258"/>
      <c r="P255" s="259"/>
      <c r="Q255" s="247"/>
      <c r="R255" s="247"/>
      <c r="S255" s="247"/>
      <c r="T255" s="247"/>
      <c r="U255" s="247"/>
      <c r="V255" s="247"/>
    </row>
    <row r="256" spans="1:22" ht="25.5">
      <c r="A256" s="252"/>
      <c r="B256" s="39"/>
      <c r="C256" s="349" t="s">
        <v>402</v>
      </c>
      <c r="D256" s="254"/>
      <c r="E256" s="257"/>
      <c r="F256" s="257"/>
      <c r="G256" s="257"/>
      <c r="H256" s="257"/>
      <c r="I256" s="257">
        <f t="shared" si="4"/>
        <v>0</v>
      </c>
      <c r="J256" s="244"/>
      <c r="K256" s="258"/>
      <c r="L256" s="258"/>
      <c r="M256" s="258"/>
      <c r="N256" s="258"/>
      <c r="O256" s="258"/>
      <c r="P256" s="259"/>
      <c r="Q256" s="247"/>
      <c r="R256" s="247"/>
      <c r="S256" s="247"/>
      <c r="T256" s="247"/>
      <c r="U256" s="247"/>
      <c r="V256" s="247"/>
    </row>
    <row r="257" spans="1:22">
      <c r="A257" s="252"/>
      <c r="B257" s="39"/>
      <c r="C257" s="253" t="s">
        <v>399</v>
      </c>
      <c r="D257" s="254"/>
      <c r="E257" s="257"/>
      <c r="F257" s="257"/>
      <c r="G257" s="257"/>
      <c r="H257" s="257">
        <v>688</v>
      </c>
      <c r="I257" s="257">
        <f t="shared" si="4"/>
        <v>688</v>
      </c>
      <c r="J257" s="244"/>
      <c r="K257" s="258"/>
      <c r="L257" s="258"/>
      <c r="M257" s="258"/>
      <c r="N257" s="258"/>
      <c r="O257" s="258"/>
      <c r="P257" s="259"/>
      <c r="Q257" s="247"/>
      <c r="R257" s="247"/>
      <c r="S257" s="247"/>
      <c r="T257" s="247"/>
      <c r="U257" s="247"/>
      <c r="V257" s="247"/>
    </row>
    <row r="258" spans="1:22">
      <c r="A258" s="252"/>
      <c r="B258" s="39"/>
      <c r="C258" s="349" t="s">
        <v>403</v>
      </c>
      <c r="D258" s="254"/>
      <c r="E258" s="257"/>
      <c r="F258" s="257"/>
      <c r="G258" s="257"/>
      <c r="H258" s="257"/>
      <c r="I258" s="257">
        <f t="shared" si="4"/>
        <v>0</v>
      </c>
      <c r="J258" s="244"/>
      <c r="K258" s="258"/>
      <c r="L258" s="258"/>
      <c r="M258" s="258"/>
      <c r="N258" s="258"/>
      <c r="O258" s="258"/>
      <c r="P258" s="259"/>
      <c r="Q258" s="247"/>
      <c r="R258" s="247"/>
      <c r="S258" s="247"/>
      <c r="T258" s="247"/>
      <c r="U258" s="247"/>
      <c r="V258" s="247"/>
    </row>
    <row r="259" spans="1:22">
      <c r="A259" s="252"/>
      <c r="B259" s="39"/>
      <c r="C259" s="253" t="s">
        <v>404</v>
      </c>
      <c r="D259" s="254"/>
      <c r="E259" s="257"/>
      <c r="F259" s="257"/>
      <c r="G259" s="257">
        <v>3</v>
      </c>
      <c r="H259" s="257">
        <v>835</v>
      </c>
      <c r="I259" s="257">
        <f t="shared" si="4"/>
        <v>2505</v>
      </c>
      <c r="J259" s="244"/>
      <c r="K259" s="258"/>
      <c r="L259" s="258"/>
      <c r="M259" s="258"/>
      <c r="N259" s="258"/>
      <c r="O259" s="258"/>
      <c r="P259" s="259"/>
      <c r="Q259" s="247"/>
      <c r="R259" s="247"/>
      <c r="S259" s="247"/>
      <c r="T259" s="247"/>
      <c r="U259" s="247"/>
      <c r="V259" s="247"/>
    </row>
    <row r="260" spans="1:22">
      <c r="A260" s="252"/>
      <c r="B260" s="39"/>
      <c r="C260" s="253"/>
      <c r="D260" s="254"/>
      <c r="E260" s="257"/>
      <c r="F260" s="257"/>
      <c r="G260" s="257"/>
      <c r="H260" s="257"/>
      <c r="I260" s="257">
        <f t="shared" si="4"/>
        <v>0</v>
      </c>
      <c r="J260" s="244"/>
      <c r="K260" s="258"/>
      <c r="L260" s="258"/>
      <c r="M260" s="258"/>
      <c r="N260" s="258"/>
      <c r="O260" s="258"/>
      <c r="P260" s="259"/>
      <c r="Q260" s="247"/>
      <c r="R260" s="247"/>
      <c r="S260" s="247"/>
      <c r="T260" s="247"/>
      <c r="U260" s="247"/>
      <c r="V260" s="247"/>
    </row>
    <row r="261" spans="1:22">
      <c r="A261" s="252"/>
      <c r="B261" s="39"/>
      <c r="C261" s="253"/>
      <c r="D261" s="254"/>
      <c r="E261" s="257"/>
      <c r="F261" s="257"/>
      <c r="G261" s="257"/>
      <c r="H261" s="343" t="s">
        <v>253</v>
      </c>
      <c r="I261" s="344">
        <f>SUM(I251:I260)</f>
        <v>6662</v>
      </c>
      <c r="J261" s="244"/>
      <c r="K261" s="258"/>
      <c r="L261" s="258"/>
      <c r="M261" s="258"/>
      <c r="N261" s="258"/>
      <c r="O261" s="258"/>
      <c r="P261" s="259"/>
      <c r="Q261" s="247"/>
      <c r="R261" s="247"/>
      <c r="S261" s="247"/>
      <c r="T261" s="247"/>
      <c r="U261" s="247"/>
      <c r="V261" s="247"/>
    </row>
    <row r="262" spans="1:22">
      <c r="A262" s="252"/>
      <c r="B262" s="39"/>
      <c r="C262" s="253"/>
      <c r="D262" s="254"/>
      <c r="E262" s="257"/>
      <c r="F262" s="257"/>
      <c r="G262" s="257"/>
      <c r="H262" s="257"/>
      <c r="I262" s="257"/>
      <c r="J262" s="244"/>
      <c r="K262" s="258"/>
      <c r="L262" s="258"/>
      <c r="M262" s="258"/>
      <c r="N262" s="258"/>
      <c r="O262" s="258"/>
      <c r="P262" s="259"/>
      <c r="Q262" s="247"/>
      <c r="R262" s="247"/>
      <c r="S262" s="247"/>
      <c r="T262" s="247"/>
      <c r="U262" s="247"/>
      <c r="V262" s="247"/>
    </row>
    <row r="263" spans="1:22" ht="39.75" customHeight="1">
      <c r="A263" s="252" t="s">
        <v>100</v>
      </c>
      <c r="B263" s="37" t="s">
        <v>405</v>
      </c>
      <c r="C263" s="38" t="str">
        <f>VLOOKUP($B263,SINAPI!$C$6:J6140,2,0)</f>
        <v>ARMAÇÃO EM UMA ESTRUTURA CONVENCIONAL DE CONCRETO ARMADO UTILIZANDO AÇO CA-50 DE 10.0 MM - AQUISIÇÃO / CORTE / DOBRA / MONTAGEM.</v>
      </c>
      <c r="D263" s="39" t="str">
        <f>VLOOKUP($B263,SINAPI!$C$6:K6140,3,0)</f>
        <v>KG</v>
      </c>
      <c r="E263" s="257"/>
      <c r="F263" s="257"/>
      <c r="G263" s="257"/>
      <c r="H263" s="257"/>
      <c r="I263" s="274">
        <f>I276</f>
        <v>6830</v>
      </c>
      <c r="J263" s="244"/>
      <c r="K263" s="245">
        <f>VLOOKUP($B263,SINAPI!$C$6:R6140,4,0)</f>
        <v>9.2028780000000001</v>
      </c>
      <c r="L263" s="245"/>
      <c r="M263" s="245"/>
      <c r="N263" s="245"/>
      <c r="O263" s="245"/>
      <c r="P263" s="246">
        <f>SUM(K263:O263)</f>
        <v>9.2028780000000001</v>
      </c>
      <c r="Q263" s="247"/>
      <c r="R263" s="247"/>
      <c r="S263" s="247"/>
      <c r="T263" s="247"/>
      <c r="U263" s="247"/>
      <c r="V263" s="247"/>
    </row>
    <row r="264" spans="1:22">
      <c r="A264" s="252"/>
      <c r="B264" s="39"/>
      <c r="C264" s="325"/>
      <c r="D264" s="254"/>
      <c r="E264" s="257"/>
      <c r="F264" s="257"/>
      <c r="G264" s="257"/>
      <c r="H264" s="257"/>
      <c r="I264" s="257"/>
      <c r="J264" s="244"/>
      <c r="K264" s="258"/>
      <c r="L264" s="258"/>
      <c r="M264" s="258"/>
      <c r="N264" s="258"/>
      <c r="O264" s="258"/>
      <c r="P264" s="259"/>
      <c r="Q264" s="247"/>
      <c r="R264" s="247"/>
      <c r="S264" s="247"/>
      <c r="T264" s="247"/>
      <c r="U264" s="247"/>
      <c r="V264" s="247"/>
    </row>
    <row r="265" spans="1:22" ht="16.5" customHeight="1">
      <c r="A265" s="252"/>
      <c r="B265" s="39"/>
      <c r="C265" s="349" t="s">
        <v>398</v>
      </c>
      <c r="D265" s="254"/>
      <c r="E265" s="257"/>
      <c r="F265" s="257"/>
      <c r="G265" s="257"/>
      <c r="H265" s="257"/>
      <c r="I265" s="257"/>
      <c r="J265" s="244"/>
      <c r="K265" s="258"/>
      <c r="L265" s="258"/>
      <c r="M265" s="258"/>
      <c r="N265" s="258"/>
      <c r="O265" s="258"/>
      <c r="P265" s="259"/>
      <c r="Q265" s="247"/>
      <c r="R265" s="247"/>
      <c r="S265" s="247"/>
      <c r="T265" s="247"/>
      <c r="U265" s="247"/>
      <c r="V265" s="247"/>
    </row>
    <row r="266" spans="1:22">
      <c r="A266" s="252"/>
      <c r="B266" s="39"/>
      <c r="C266" s="253" t="s">
        <v>406</v>
      </c>
      <c r="D266" s="254"/>
      <c r="E266" s="257"/>
      <c r="F266" s="257"/>
      <c r="G266" s="257"/>
      <c r="H266" s="257">
        <v>1535</v>
      </c>
      <c r="I266" s="257">
        <f t="shared" ref="I266:I275" si="5">PRODUCT(E266:H266)</f>
        <v>1535</v>
      </c>
      <c r="J266" s="244"/>
      <c r="K266" s="258"/>
      <c r="L266" s="258"/>
      <c r="M266" s="258"/>
      <c r="N266" s="258"/>
      <c r="O266" s="258"/>
      <c r="P266" s="259"/>
      <c r="Q266" s="247"/>
      <c r="R266" s="247"/>
      <c r="S266" s="247"/>
      <c r="T266" s="247"/>
      <c r="U266" s="247"/>
      <c r="V266" s="247"/>
    </row>
    <row r="267" spans="1:22" ht="18.75" customHeight="1">
      <c r="A267" s="252"/>
      <c r="B267" s="39"/>
      <c r="C267" s="349" t="s">
        <v>400</v>
      </c>
      <c r="D267" s="254"/>
      <c r="E267" s="257"/>
      <c r="F267" s="257"/>
      <c r="G267" s="257"/>
      <c r="H267" s="257"/>
      <c r="I267" s="257">
        <f t="shared" si="5"/>
        <v>0</v>
      </c>
      <c r="J267" s="244"/>
      <c r="K267" s="258"/>
      <c r="L267" s="258"/>
      <c r="M267" s="258"/>
      <c r="N267" s="258"/>
      <c r="O267" s="258"/>
      <c r="P267" s="259"/>
      <c r="Q267" s="247"/>
      <c r="R267" s="247"/>
      <c r="S267" s="247"/>
      <c r="T267" s="247"/>
      <c r="U267" s="247"/>
      <c r="V267" s="247"/>
    </row>
    <row r="268" spans="1:22">
      <c r="A268" s="252"/>
      <c r="B268" s="39"/>
      <c r="C268" s="253" t="s">
        <v>407</v>
      </c>
      <c r="D268" s="254"/>
      <c r="E268" s="257"/>
      <c r="F268" s="257"/>
      <c r="G268" s="257"/>
      <c r="H268" s="257">
        <v>1535</v>
      </c>
      <c r="I268" s="257">
        <f t="shared" si="5"/>
        <v>1535</v>
      </c>
      <c r="J268" s="244"/>
      <c r="K268" s="258"/>
      <c r="L268" s="258"/>
      <c r="M268" s="258"/>
      <c r="N268" s="258"/>
      <c r="O268" s="258"/>
      <c r="P268" s="259"/>
      <c r="Q268" s="247"/>
      <c r="R268" s="247"/>
      <c r="S268" s="247"/>
      <c r="T268" s="247"/>
      <c r="U268" s="247"/>
      <c r="V268" s="247"/>
    </row>
    <row r="269" spans="1:22" ht="25.5">
      <c r="A269" s="252"/>
      <c r="B269" s="39"/>
      <c r="C269" s="349" t="s">
        <v>401</v>
      </c>
      <c r="D269" s="254"/>
      <c r="E269" s="257"/>
      <c r="F269" s="257"/>
      <c r="G269" s="257"/>
      <c r="H269" s="257"/>
      <c r="I269" s="257">
        <f t="shared" si="5"/>
        <v>0</v>
      </c>
      <c r="J269" s="244"/>
      <c r="K269" s="258"/>
      <c r="L269" s="258"/>
      <c r="M269" s="258"/>
      <c r="N269" s="258"/>
      <c r="O269" s="258"/>
      <c r="P269" s="259"/>
      <c r="Q269" s="247"/>
      <c r="R269" s="247"/>
      <c r="S269" s="247"/>
      <c r="T269" s="247"/>
      <c r="U269" s="247"/>
      <c r="V269" s="247"/>
    </row>
    <row r="270" spans="1:22">
      <c r="A270" s="252"/>
      <c r="B270" s="39"/>
      <c r="C270" s="253" t="s">
        <v>406</v>
      </c>
      <c r="D270" s="254"/>
      <c r="E270" s="257"/>
      <c r="F270" s="257"/>
      <c r="G270" s="257"/>
      <c r="H270" s="257">
        <v>372</v>
      </c>
      <c r="I270" s="257">
        <f t="shared" si="5"/>
        <v>372</v>
      </c>
      <c r="J270" s="244"/>
      <c r="K270" s="258"/>
      <c r="L270" s="258"/>
      <c r="M270" s="258"/>
      <c r="N270" s="258"/>
      <c r="O270" s="258"/>
      <c r="P270" s="259"/>
      <c r="Q270" s="247"/>
      <c r="R270" s="247"/>
      <c r="S270" s="247"/>
      <c r="T270" s="247"/>
      <c r="U270" s="247"/>
      <c r="V270" s="247"/>
    </row>
    <row r="271" spans="1:22" ht="25.5">
      <c r="A271" s="252"/>
      <c r="B271" s="39"/>
      <c r="C271" s="349" t="s">
        <v>402</v>
      </c>
      <c r="D271" s="254"/>
      <c r="E271" s="257"/>
      <c r="F271" s="257"/>
      <c r="G271" s="257"/>
      <c r="H271" s="257"/>
      <c r="I271" s="257">
        <f t="shared" si="5"/>
        <v>0</v>
      </c>
      <c r="J271" s="244"/>
      <c r="K271" s="258"/>
      <c r="L271" s="258"/>
      <c r="M271" s="258"/>
      <c r="N271" s="258"/>
      <c r="O271" s="258"/>
      <c r="P271" s="259"/>
      <c r="Q271" s="247"/>
      <c r="R271" s="247"/>
      <c r="S271" s="247"/>
      <c r="T271" s="247"/>
      <c r="U271" s="247"/>
      <c r="V271" s="247"/>
    </row>
    <row r="272" spans="1:22">
      <c r="A272" s="252"/>
      <c r="B272" s="39"/>
      <c r="C272" s="253" t="s">
        <v>407</v>
      </c>
      <c r="D272" s="254"/>
      <c r="E272" s="257"/>
      <c r="F272" s="257"/>
      <c r="G272" s="257"/>
      <c r="H272" s="257">
        <v>619</v>
      </c>
      <c r="I272" s="257">
        <f t="shared" si="5"/>
        <v>619</v>
      </c>
      <c r="J272" s="244"/>
      <c r="K272" s="258"/>
      <c r="L272" s="258"/>
      <c r="M272" s="258"/>
      <c r="N272" s="258"/>
      <c r="O272" s="258"/>
      <c r="P272" s="259"/>
      <c r="Q272" s="247"/>
      <c r="R272" s="247"/>
      <c r="S272" s="247"/>
      <c r="T272" s="247"/>
      <c r="U272" s="247"/>
      <c r="V272" s="247"/>
    </row>
    <row r="273" spans="1:22">
      <c r="A273" s="252"/>
      <c r="B273" s="39"/>
      <c r="C273" s="349" t="s">
        <v>403</v>
      </c>
      <c r="D273" s="254"/>
      <c r="E273" s="257"/>
      <c r="F273" s="257"/>
      <c r="G273" s="257"/>
      <c r="H273" s="257"/>
      <c r="I273" s="257">
        <f t="shared" si="5"/>
        <v>0</v>
      </c>
      <c r="J273" s="244"/>
      <c r="K273" s="258"/>
      <c r="L273" s="258"/>
      <c r="M273" s="258"/>
      <c r="N273" s="258"/>
      <c r="O273" s="258"/>
      <c r="P273" s="259"/>
      <c r="Q273" s="247"/>
      <c r="R273" s="247"/>
      <c r="S273" s="247"/>
      <c r="T273" s="247"/>
      <c r="U273" s="247"/>
      <c r="V273" s="247"/>
    </row>
    <row r="274" spans="1:22">
      <c r="A274" s="252"/>
      <c r="B274" s="39"/>
      <c r="C274" s="253" t="s">
        <v>407</v>
      </c>
      <c r="D274" s="254"/>
      <c r="E274" s="257"/>
      <c r="F274" s="257"/>
      <c r="G274" s="257">
        <v>3</v>
      </c>
      <c r="H274" s="257">
        <v>923</v>
      </c>
      <c r="I274" s="257">
        <f t="shared" si="5"/>
        <v>2769</v>
      </c>
      <c r="J274" s="244"/>
      <c r="K274" s="258"/>
      <c r="L274" s="258"/>
      <c r="M274" s="258"/>
      <c r="N274" s="258"/>
      <c r="O274" s="258"/>
      <c r="P274" s="259"/>
      <c r="Q274" s="247"/>
      <c r="R274" s="247"/>
      <c r="S274" s="247"/>
      <c r="T274" s="247"/>
      <c r="U274" s="247"/>
      <c r="V274" s="247"/>
    </row>
    <row r="275" spans="1:22">
      <c r="A275" s="252"/>
      <c r="B275" s="39"/>
      <c r="C275" s="253"/>
      <c r="D275" s="254"/>
      <c r="E275" s="257"/>
      <c r="F275" s="257"/>
      <c r="G275" s="257"/>
      <c r="H275" s="257"/>
      <c r="I275" s="257">
        <f t="shared" si="5"/>
        <v>0</v>
      </c>
      <c r="J275" s="244"/>
      <c r="K275" s="258"/>
      <c r="L275" s="258"/>
      <c r="M275" s="258"/>
      <c r="N275" s="258"/>
      <c r="O275" s="258"/>
      <c r="P275" s="259"/>
      <c r="Q275" s="247"/>
      <c r="R275" s="247"/>
      <c r="S275" s="247"/>
      <c r="T275" s="247"/>
      <c r="U275" s="247"/>
      <c r="V275" s="247"/>
    </row>
    <row r="276" spans="1:22">
      <c r="A276" s="252"/>
      <c r="B276" s="39"/>
      <c r="C276" s="253"/>
      <c r="D276" s="254"/>
      <c r="E276" s="257"/>
      <c r="F276" s="257"/>
      <c r="G276" s="257"/>
      <c r="H276" s="343" t="s">
        <v>253</v>
      </c>
      <c r="I276" s="344">
        <f>SUM(I266:I275)</f>
        <v>6830</v>
      </c>
      <c r="J276" s="244"/>
      <c r="K276" s="258"/>
      <c r="L276" s="258"/>
      <c r="M276" s="258"/>
      <c r="N276" s="258"/>
      <c r="O276" s="258"/>
      <c r="P276" s="259"/>
      <c r="Q276" s="247"/>
      <c r="R276" s="247"/>
      <c r="S276" s="247"/>
      <c r="T276" s="247"/>
      <c r="U276" s="247"/>
      <c r="V276" s="247"/>
    </row>
    <row r="277" spans="1:22">
      <c r="A277" s="252"/>
      <c r="B277" s="39"/>
      <c r="C277" s="253"/>
      <c r="D277" s="254"/>
      <c r="E277" s="257"/>
      <c r="F277" s="257"/>
      <c r="G277" s="257"/>
      <c r="H277" s="257"/>
      <c r="I277" s="257"/>
      <c r="J277" s="244"/>
      <c r="K277" s="258"/>
      <c r="L277" s="258"/>
      <c r="M277" s="258"/>
      <c r="N277" s="258"/>
      <c r="O277" s="258"/>
      <c r="P277" s="259"/>
      <c r="Q277" s="247"/>
      <c r="R277" s="247"/>
      <c r="S277" s="247"/>
      <c r="T277" s="247"/>
      <c r="U277" s="247"/>
      <c r="V277" s="247"/>
    </row>
    <row r="278" spans="1:22" ht="39.75" customHeight="1">
      <c r="A278" s="252" t="s">
        <v>101</v>
      </c>
      <c r="B278" s="37" t="s">
        <v>408</v>
      </c>
      <c r="C278" s="38" t="str">
        <f>VLOOKUP($B278,SINAPI!$C$6:J6164,2,0)</f>
        <v>ARMAÇÃO EM UMA ESTRUTURA CONVENCIONAL DE CONCRETO ARMADO UTILIZANDO AÇO CA-50 DE 12.5 MM - AQUISIÇÃO / CORTE / DOBRA / MONTAGEM.</v>
      </c>
      <c r="D278" s="39" t="str">
        <f>VLOOKUP($B278,SINAPI!$C$6:K6164,3,0)</f>
        <v>KG</v>
      </c>
      <c r="E278" s="257"/>
      <c r="F278" s="257"/>
      <c r="G278" s="257"/>
      <c r="H278" s="257"/>
      <c r="I278" s="274">
        <f>I289</f>
        <v>2296</v>
      </c>
      <c r="J278" s="244"/>
      <c r="K278" s="245">
        <f>VLOOKUP($B278,SINAPI!$C$6:R6164,4,0)</f>
        <v>8.3628780000000003</v>
      </c>
      <c r="L278" s="245"/>
      <c r="M278" s="245"/>
      <c r="N278" s="245"/>
      <c r="O278" s="245"/>
      <c r="P278" s="246">
        <f>SUM(K278:O278)</f>
        <v>8.3628780000000003</v>
      </c>
      <c r="Q278" s="247"/>
      <c r="R278" s="247"/>
      <c r="S278" s="247"/>
      <c r="T278" s="247"/>
      <c r="U278" s="247"/>
      <c r="V278" s="247"/>
    </row>
    <row r="279" spans="1:22">
      <c r="A279" s="252"/>
      <c r="B279" s="39"/>
      <c r="C279" s="325"/>
      <c r="D279" s="254"/>
      <c r="E279" s="257"/>
      <c r="F279" s="257"/>
      <c r="G279" s="257"/>
      <c r="H279" s="257"/>
      <c r="I279" s="257"/>
      <c r="J279" s="244"/>
      <c r="K279" s="258"/>
      <c r="L279" s="258"/>
      <c r="M279" s="258"/>
      <c r="N279" s="258"/>
      <c r="O279" s="258"/>
      <c r="P279" s="259"/>
      <c r="Q279" s="247"/>
      <c r="R279" s="247"/>
      <c r="S279" s="247"/>
      <c r="T279" s="247"/>
      <c r="U279" s="247"/>
      <c r="V279" s="247"/>
    </row>
    <row r="280" spans="1:22" ht="16.5" customHeight="1">
      <c r="A280" s="252"/>
      <c r="B280" s="39"/>
      <c r="C280" s="349" t="s">
        <v>398</v>
      </c>
      <c r="D280" s="254"/>
      <c r="E280" s="257"/>
      <c r="F280" s="257"/>
      <c r="G280" s="257"/>
      <c r="H280" s="257"/>
      <c r="I280" s="257"/>
      <c r="J280" s="244"/>
      <c r="K280" s="258"/>
      <c r="L280" s="258"/>
      <c r="M280" s="258"/>
      <c r="N280" s="258"/>
      <c r="O280" s="258"/>
      <c r="P280" s="259"/>
      <c r="Q280" s="247"/>
      <c r="R280" s="247"/>
      <c r="S280" s="247"/>
      <c r="T280" s="247"/>
      <c r="U280" s="247"/>
      <c r="V280" s="247"/>
    </row>
    <row r="281" spans="1:22">
      <c r="A281" s="252"/>
      <c r="B281" s="39"/>
      <c r="C281" s="253" t="s">
        <v>409</v>
      </c>
      <c r="D281" s="254"/>
      <c r="E281" s="257"/>
      <c r="F281" s="257"/>
      <c r="G281" s="257"/>
      <c r="H281" s="257">
        <v>639</v>
      </c>
      <c r="I281" s="257">
        <f t="shared" ref="I281:I288" si="6">PRODUCT(E281:H281)</f>
        <v>639</v>
      </c>
      <c r="J281" s="244"/>
      <c r="K281" s="258"/>
      <c r="L281" s="258"/>
      <c r="M281" s="258"/>
      <c r="N281" s="258"/>
      <c r="O281" s="258"/>
      <c r="P281" s="259"/>
      <c r="Q281" s="247"/>
      <c r="R281" s="247"/>
      <c r="S281" s="247"/>
      <c r="T281" s="247"/>
      <c r="U281" s="247"/>
      <c r="V281" s="247"/>
    </row>
    <row r="282" spans="1:22" ht="18.75" customHeight="1">
      <c r="A282" s="252"/>
      <c r="B282" s="39"/>
      <c r="C282" s="349" t="s">
        <v>400</v>
      </c>
      <c r="D282" s="254"/>
      <c r="E282" s="257"/>
      <c r="F282" s="257"/>
      <c r="G282" s="257"/>
      <c r="H282" s="257"/>
      <c r="I282" s="257">
        <f t="shared" si="6"/>
        <v>0</v>
      </c>
      <c r="J282" s="244"/>
      <c r="K282" s="258"/>
      <c r="L282" s="258"/>
      <c r="M282" s="258"/>
      <c r="N282" s="258"/>
      <c r="O282" s="258"/>
      <c r="P282" s="259"/>
      <c r="Q282" s="247"/>
      <c r="R282" s="247"/>
      <c r="S282" s="247"/>
      <c r="T282" s="247"/>
      <c r="U282" s="247"/>
      <c r="V282" s="247"/>
    </row>
    <row r="283" spans="1:22">
      <c r="A283" s="252"/>
      <c r="B283" s="39"/>
      <c r="C283" s="253" t="s">
        <v>410</v>
      </c>
      <c r="D283" s="254"/>
      <c r="E283" s="257"/>
      <c r="F283" s="257"/>
      <c r="G283" s="257"/>
      <c r="H283" s="257">
        <v>644</v>
      </c>
      <c r="I283" s="257">
        <f t="shared" si="6"/>
        <v>644</v>
      </c>
      <c r="J283" s="244"/>
      <c r="K283" s="258"/>
      <c r="L283" s="258"/>
      <c r="M283" s="258"/>
      <c r="N283" s="258"/>
      <c r="O283" s="258"/>
      <c r="P283" s="259"/>
      <c r="Q283" s="247"/>
      <c r="R283" s="247"/>
      <c r="S283" s="247"/>
      <c r="T283" s="247"/>
      <c r="U283" s="247"/>
      <c r="V283" s="247"/>
    </row>
    <row r="284" spans="1:22" ht="25.5">
      <c r="A284" s="252"/>
      <c r="B284" s="39"/>
      <c r="C284" s="349" t="s">
        <v>401</v>
      </c>
      <c r="D284" s="254"/>
      <c r="E284" s="257"/>
      <c r="F284" s="257"/>
      <c r="G284" s="257"/>
      <c r="H284" s="257"/>
      <c r="I284" s="257">
        <f t="shared" si="6"/>
        <v>0</v>
      </c>
      <c r="J284" s="244"/>
      <c r="K284" s="258"/>
      <c r="L284" s="258"/>
      <c r="M284" s="258"/>
      <c r="N284" s="258"/>
      <c r="O284" s="258"/>
      <c r="P284" s="259"/>
      <c r="Q284" s="247"/>
      <c r="R284" s="247"/>
      <c r="S284" s="247"/>
      <c r="T284" s="247"/>
      <c r="U284" s="247"/>
      <c r="V284" s="247"/>
    </row>
    <row r="285" spans="1:22">
      <c r="A285" s="252"/>
      <c r="B285" s="39"/>
      <c r="C285" s="253" t="s">
        <v>409</v>
      </c>
      <c r="D285" s="254"/>
      <c r="E285" s="257"/>
      <c r="F285" s="257"/>
      <c r="G285" s="257"/>
      <c r="H285" s="257">
        <v>381</v>
      </c>
      <c r="I285" s="257">
        <f t="shared" si="6"/>
        <v>381</v>
      </c>
      <c r="J285" s="244"/>
      <c r="K285" s="258"/>
      <c r="L285" s="258"/>
      <c r="M285" s="258"/>
      <c r="N285" s="258"/>
      <c r="O285" s="258"/>
      <c r="P285" s="259"/>
      <c r="Q285" s="247"/>
      <c r="R285" s="247"/>
      <c r="S285" s="247"/>
      <c r="T285" s="247"/>
      <c r="U285" s="247"/>
      <c r="V285" s="247"/>
    </row>
    <row r="286" spans="1:22" ht="25.5">
      <c r="A286" s="252"/>
      <c r="B286" s="39"/>
      <c r="C286" s="349" t="s">
        <v>402</v>
      </c>
      <c r="D286" s="254"/>
      <c r="E286" s="257"/>
      <c r="F286" s="257"/>
      <c r="G286" s="257"/>
      <c r="H286" s="257"/>
      <c r="I286" s="257">
        <f t="shared" si="6"/>
        <v>0</v>
      </c>
      <c r="J286" s="244"/>
      <c r="K286" s="258"/>
      <c r="L286" s="258"/>
      <c r="M286" s="258"/>
      <c r="N286" s="258"/>
      <c r="O286" s="258"/>
      <c r="P286" s="259"/>
      <c r="Q286" s="247"/>
      <c r="R286" s="247"/>
      <c r="S286" s="247"/>
      <c r="T286" s="247"/>
      <c r="U286" s="247"/>
      <c r="V286" s="247"/>
    </row>
    <row r="287" spans="1:22">
      <c r="A287" s="252"/>
      <c r="B287" s="39"/>
      <c r="C287" s="253" t="s">
        <v>410</v>
      </c>
      <c r="D287" s="254"/>
      <c r="E287" s="257"/>
      <c r="F287" s="257"/>
      <c r="G287" s="257"/>
      <c r="H287" s="257">
        <v>632</v>
      </c>
      <c r="I287" s="257">
        <f t="shared" si="6"/>
        <v>632</v>
      </c>
      <c r="J287" s="244"/>
      <c r="K287" s="258"/>
      <c r="L287" s="258"/>
      <c r="M287" s="258"/>
      <c r="N287" s="258"/>
      <c r="O287" s="258"/>
      <c r="P287" s="259"/>
      <c r="Q287" s="247"/>
      <c r="R287" s="247"/>
      <c r="S287" s="247"/>
      <c r="T287" s="247"/>
      <c r="U287" s="247"/>
      <c r="V287" s="247"/>
    </row>
    <row r="288" spans="1:22">
      <c r="A288" s="252"/>
      <c r="B288" s="39"/>
      <c r="C288" s="253"/>
      <c r="D288" s="254"/>
      <c r="E288" s="257"/>
      <c r="F288" s="257"/>
      <c r="G288" s="257"/>
      <c r="H288" s="257"/>
      <c r="I288" s="257">
        <f t="shared" si="6"/>
        <v>0</v>
      </c>
      <c r="J288" s="244"/>
      <c r="K288" s="258"/>
      <c r="L288" s="258"/>
      <c r="M288" s="258"/>
      <c r="N288" s="258"/>
      <c r="O288" s="258"/>
      <c r="P288" s="259"/>
      <c r="Q288" s="247"/>
      <c r="R288" s="247"/>
      <c r="S288" s="247"/>
      <c r="T288" s="247"/>
      <c r="U288" s="247"/>
      <c r="V288" s="247"/>
    </row>
    <row r="289" spans="1:22">
      <c r="A289" s="252"/>
      <c r="B289" s="39"/>
      <c r="C289" s="253"/>
      <c r="D289" s="254"/>
      <c r="E289" s="257"/>
      <c r="F289" s="257"/>
      <c r="G289" s="257"/>
      <c r="H289" s="343" t="s">
        <v>253</v>
      </c>
      <c r="I289" s="344">
        <f>SUM(I281:I288)</f>
        <v>2296</v>
      </c>
      <c r="J289" s="244"/>
      <c r="K289" s="258"/>
      <c r="L289" s="258"/>
      <c r="M289" s="258"/>
      <c r="N289" s="258"/>
      <c r="O289" s="258"/>
      <c r="P289" s="259"/>
      <c r="Q289" s="247"/>
      <c r="R289" s="247"/>
      <c r="S289" s="247"/>
      <c r="T289" s="247"/>
      <c r="U289" s="247"/>
      <c r="V289" s="247"/>
    </row>
    <row r="290" spans="1:22">
      <c r="A290" s="252"/>
      <c r="B290" s="39"/>
      <c r="C290" s="253"/>
      <c r="D290" s="254"/>
      <c r="E290" s="257"/>
      <c r="F290" s="257"/>
      <c r="G290" s="257"/>
      <c r="H290" s="257"/>
      <c r="I290" s="257"/>
      <c r="J290" s="244"/>
      <c r="K290" s="258"/>
      <c r="L290" s="258"/>
      <c r="M290" s="258"/>
      <c r="N290" s="258"/>
      <c r="O290" s="258"/>
      <c r="P290" s="259"/>
      <c r="Q290" s="247"/>
      <c r="R290" s="247"/>
      <c r="S290" s="247"/>
      <c r="T290" s="247"/>
      <c r="U290" s="247"/>
      <c r="V290" s="247"/>
    </row>
    <row r="291" spans="1:22" ht="42.75" customHeight="1">
      <c r="A291" s="252" t="s">
        <v>102</v>
      </c>
      <c r="B291" s="37" t="s">
        <v>411</v>
      </c>
      <c r="C291" s="38" t="str">
        <f>VLOOKUP($B291,SINAPI!$C$6:J6127,2,0)</f>
        <v>ARMAÇÃO EM UMA ESTRUTURA CONVENCIONAL DE CONCRETO ARMADO UTILIZANDO AÇO CA-60 DE 5.0 MM - AQUISIÇÃO / CORTE / DOBRA / MONTAGEM.</v>
      </c>
      <c r="D291" s="39" t="str">
        <f>VLOOKUP($B291,SINAPI!$C$6:K6127,3,0)</f>
        <v>KG</v>
      </c>
      <c r="E291" s="257"/>
      <c r="F291" s="257"/>
      <c r="G291" s="257"/>
      <c r="H291" s="257"/>
      <c r="I291" s="274">
        <f>I300</f>
        <v>478</v>
      </c>
      <c r="J291" s="244"/>
      <c r="K291" s="245">
        <f>VLOOKUP($B291,SINAPI!$C$6:R6127,4,0)</f>
        <v>8.5664759999999998</v>
      </c>
      <c r="L291" s="245"/>
      <c r="M291" s="245"/>
      <c r="N291" s="245"/>
      <c r="O291" s="245"/>
      <c r="P291" s="246">
        <f>SUM(K291:O291)</f>
        <v>8.5664759999999998</v>
      </c>
      <c r="Q291" s="247"/>
      <c r="R291" s="247"/>
      <c r="S291" s="247"/>
      <c r="T291" s="247"/>
      <c r="U291" s="247"/>
      <c r="V291" s="247"/>
    </row>
    <row r="292" spans="1:22">
      <c r="A292" s="252"/>
      <c r="B292" s="39"/>
      <c r="C292" s="325"/>
      <c r="D292" s="254"/>
      <c r="E292" s="257"/>
      <c r="F292" s="257"/>
      <c r="G292" s="257"/>
      <c r="H292" s="257"/>
      <c r="I292" s="257"/>
      <c r="J292" s="244"/>
      <c r="K292" s="258"/>
      <c r="L292" s="258"/>
      <c r="M292" s="258"/>
      <c r="N292" s="258"/>
      <c r="O292" s="258"/>
      <c r="P292" s="259"/>
      <c r="Q292" s="247"/>
      <c r="R292" s="247"/>
      <c r="S292" s="247"/>
      <c r="T292" s="247"/>
      <c r="U292" s="247"/>
      <c r="V292" s="247"/>
    </row>
    <row r="293" spans="1:22" ht="25.5">
      <c r="A293" s="252"/>
      <c r="B293" s="39"/>
      <c r="C293" s="349" t="s">
        <v>398</v>
      </c>
      <c r="D293" s="254"/>
      <c r="E293" s="257"/>
      <c r="F293" s="257"/>
      <c r="G293" s="257"/>
      <c r="H293" s="257"/>
      <c r="I293" s="257">
        <f>H293</f>
        <v>0</v>
      </c>
      <c r="J293" s="244"/>
      <c r="K293" s="258"/>
      <c r="L293" s="258"/>
      <c r="M293" s="258"/>
      <c r="N293" s="258"/>
      <c r="O293" s="258"/>
      <c r="P293" s="259"/>
      <c r="Q293" s="247"/>
      <c r="R293" s="247"/>
      <c r="S293" s="247"/>
      <c r="T293" s="247"/>
      <c r="U293" s="247"/>
      <c r="V293" s="247"/>
    </row>
    <row r="294" spans="1:22">
      <c r="A294" s="252"/>
      <c r="B294" s="39"/>
      <c r="C294" s="253" t="s">
        <v>412</v>
      </c>
      <c r="D294" s="254"/>
      <c r="E294" s="257"/>
      <c r="F294" s="257"/>
      <c r="G294" s="257"/>
      <c r="H294" s="257">
        <v>103</v>
      </c>
      <c r="I294" s="257">
        <f>PRODUCT(E294:H294)</f>
        <v>103</v>
      </c>
      <c r="J294" s="244"/>
      <c r="K294" s="258"/>
      <c r="L294" s="258"/>
      <c r="M294" s="258"/>
      <c r="N294" s="258"/>
      <c r="O294" s="258"/>
      <c r="P294" s="259"/>
      <c r="Q294" s="247"/>
      <c r="R294" s="247"/>
      <c r="S294" s="247"/>
      <c r="T294" s="247"/>
      <c r="U294" s="247"/>
      <c r="V294" s="247"/>
    </row>
    <row r="295" spans="1:22" ht="25.5">
      <c r="A295" s="252"/>
      <c r="B295" s="39"/>
      <c r="C295" s="349" t="s">
        <v>400</v>
      </c>
      <c r="D295" s="254"/>
      <c r="E295" s="257"/>
      <c r="F295" s="257"/>
      <c r="G295" s="257"/>
      <c r="H295" s="257"/>
      <c r="I295" s="257">
        <f>PRODUCT(E295:H295)</f>
        <v>0</v>
      </c>
      <c r="J295" s="244"/>
      <c r="K295" s="258"/>
      <c r="L295" s="258"/>
      <c r="M295" s="258"/>
      <c r="N295" s="258"/>
      <c r="O295" s="258"/>
      <c r="P295" s="259"/>
      <c r="Q295" s="247"/>
      <c r="R295" s="247"/>
      <c r="S295" s="247"/>
      <c r="T295" s="247"/>
      <c r="U295" s="247"/>
      <c r="V295" s="247"/>
    </row>
    <row r="296" spans="1:22">
      <c r="A296" s="252"/>
      <c r="B296" s="39"/>
      <c r="C296" s="253" t="s">
        <v>412</v>
      </c>
      <c r="D296" s="254"/>
      <c r="E296" s="257"/>
      <c r="F296" s="257"/>
      <c r="G296" s="257"/>
      <c r="H296" s="257">
        <v>103</v>
      </c>
      <c r="I296" s="257">
        <f>PRODUCT(E296:H296)</f>
        <v>103</v>
      </c>
      <c r="J296" s="244"/>
      <c r="K296" s="258"/>
      <c r="L296" s="258"/>
      <c r="M296" s="258"/>
      <c r="N296" s="258"/>
      <c r="O296" s="258"/>
      <c r="P296" s="259"/>
      <c r="Q296" s="247"/>
      <c r="R296" s="247"/>
      <c r="S296" s="247"/>
      <c r="T296" s="247"/>
      <c r="U296" s="247"/>
      <c r="V296" s="247"/>
    </row>
    <row r="297" spans="1:22" ht="25.5">
      <c r="A297" s="252"/>
      <c r="B297" s="39"/>
      <c r="C297" s="349" t="s">
        <v>401</v>
      </c>
      <c r="D297" s="254"/>
      <c r="E297" s="257"/>
      <c r="F297" s="257"/>
      <c r="G297" s="257"/>
      <c r="H297" s="257"/>
      <c r="I297" s="257">
        <f>PRODUCT(E297:H297)</f>
        <v>0</v>
      </c>
      <c r="J297" s="244"/>
      <c r="K297" s="258"/>
      <c r="L297" s="258"/>
      <c r="M297" s="258"/>
      <c r="N297" s="258"/>
      <c r="O297" s="258"/>
      <c r="P297" s="259"/>
      <c r="Q297" s="247"/>
      <c r="R297" s="247"/>
      <c r="S297" s="247"/>
      <c r="T297" s="247"/>
      <c r="U297" s="247"/>
      <c r="V297" s="247"/>
    </row>
    <row r="298" spans="1:22">
      <c r="A298" s="252"/>
      <c r="B298" s="39"/>
      <c r="C298" s="253" t="s">
        <v>412</v>
      </c>
      <c r="D298" s="254"/>
      <c r="E298" s="257"/>
      <c r="F298" s="257"/>
      <c r="G298" s="257"/>
      <c r="H298" s="257">
        <v>272</v>
      </c>
      <c r="I298" s="257">
        <f>PRODUCT(E298:H298)</f>
        <v>272</v>
      </c>
      <c r="J298" s="244"/>
      <c r="K298" s="258"/>
      <c r="L298" s="258"/>
      <c r="M298" s="258"/>
      <c r="N298" s="258"/>
      <c r="O298" s="258"/>
      <c r="P298" s="259"/>
      <c r="Q298" s="247"/>
      <c r="R298" s="247"/>
      <c r="S298" s="247"/>
      <c r="T298" s="247"/>
      <c r="U298" s="247"/>
      <c r="V298" s="247"/>
    </row>
    <row r="299" spans="1:22">
      <c r="A299" s="252"/>
      <c r="B299" s="39"/>
      <c r="C299" s="253"/>
      <c r="D299" s="254"/>
      <c r="E299" s="257"/>
      <c r="F299" s="257"/>
      <c r="G299" s="257"/>
      <c r="H299" s="257"/>
      <c r="I299" s="257">
        <f>H299</f>
        <v>0</v>
      </c>
      <c r="J299" s="244"/>
      <c r="K299" s="258"/>
      <c r="L299" s="258"/>
      <c r="M299" s="258"/>
      <c r="N299" s="258"/>
      <c r="O299" s="258"/>
      <c r="P299" s="259"/>
      <c r="Q299" s="247"/>
      <c r="R299" s="247"/>
      <c r="S299" s="247"/>
      <c r="T299" s="247"/>
      <c r="U299" s="247"/>
      <c r="V299" s="247"/>
    </row>
    <row r="300" spans="1:22">
      <c r="A300" s="252"/>
      <c r="B300" s="39"/>
      <c r="C300" s="253"/>
      <c r="D300" s="254"/>
      <c r="E300" s="257"/>
      <c r="F300" s="257"/>
      <c r="G300" s="257"/>
      <c r="H300" s="343" t="s">
        <v>253</v>
      </c>
      <c r="I300" s="344">
        <f>SUM(I293:I299)</f>
        <v>478</v>
      </c>
      <c r="J300" s="244"/>
      <c r="K300" s="258"/>
      <c r="L300" s="258"/>
      <c r="M300" s="258"/>
      <c r="N300" s="258"/>
      <c r="O300" s="258"/>
      <c r="P300" s="259"/>
      <c r="Q300" s="247"/>
      <c r="R300" s="247"/>
      <c r="S300" s="247"/>
      <c r="T300" s="247"/>
      <c r="U300" s="247"/>
      <c r="V300" s="247"/>
    </row>
    <row r="301" spans="1:22">
      <c r="A301" s="252"/>
      <c r="B301" s="39"/>
      <c r="C301" s="253"/>
      <c r="D301" s="254"/>
      <c r="E301" s="257"/>
      <c r="F301" s="257"/>
      <c r="G301" s="257"/>
      <c r="H301" s="297"/>
      <c r="I301" s="298"/>
      <c r="J301" s="244"/>
      <c r="K301" s="258"/>
      <c r="L301" s="258"/>
      <c r="M301" s="258"/>
      <c r="N301" s="258"/>
      <c r="O301" s="258"/>
      <c r="P301" s="259"/>
      <c r="Q301" s="247"/>
      <c r="R301" s="247"/>
      <c r="S301" s="247"/>
      <c r="T301" s="247"/>
      <c r="U301" s="247"/>
      <c r="V301" s="247"/>
    </row>
    <row r="302" spans="1:22" ht="26.25" customHeight="1">
      <c r="A302" s="252" t="s">
        <v>103</v>
      </c>
      <c r="B302" s="37" t="s">
        <v>93</v>
      </c>
      <c r="C302" s="38" t="str">
        <f>VLOOKUP($B302,SINAPI!$C$6:J6116,2,0)</f>
        <v>CONCRETO USINADO BOMBEÁVEL FCK=30MPA, INCLUSIVE LANCAMENTO E ADENSAMENTO</v>
      </c>
      <c r="D302" s="39" t="str">
        <f>VLOOKUP($B302,SINAPI!$C$6:K6116,3,0)</f>
        <v>M3</v>
      </c>
      <c r="E302" s="257"/>
      <c r="F302" s="257"/>
      <c r="G302" s="257"/>
      <c r="H302" s="257"/>
      <c r="I302" s="274">
        <f>I316</f>
        <v>155.74</v>
      </c>
      <c r="J302" s="244"/>
      <c r="K302" s="245">
        <f>VLOOKUP($B302,SINAPI!$C$6:R6116,4,0)</f>
        <v>382.27449999999999</v>
      </c>
      <c r="L302" s="245"/>
      <c r="M302" s="245"/>
      <c r="N302" s="245"/>
      <c r="O302" s="245"/>
      <c r="P302" s="246">
        <f>SUM(K302:O302)</f>
        <v>382.27449999999999</v>
      </c>
      <c r="Q302" s="247"/>
      <c r="R302" s="247"/>
      <c r="S302" s="247"/>
      <c r="T302" s="247"/>
      <c r="U302" s="247"/>
      <c r="V302" s="247"/>
    </row>
    <row r="303" spans="1:22">
      <c r="A303" s="252"/>
      <c r="B303" s="39"/>
      <c r="C303" s="253"/>
      <c r="D303" s="350"/>
      <c r="E303" s="268"/>
      <c r="F303" s="268"/>
      <c r="G303" s="268"/>
      <c r="H303" s="268"/>
      <c r="I303" s="268"/>
      <c r="J303" s="244"/>
      <c r="K303" s="258"/>
      <c r="L303" s="258"/>
      <c r="M303" s="258"/>
      <c r="N303" s="258"/>
      <c r="O303" s="258"/>
      <c r="P303" s="259"/>
      <c r="Q303" s="247"/>
      <c r="R303" s="247"/>
      <c r="S303" s="247"/>
      <c r="T303" s="247"/>
      <c r="U303" s="247"/>
      <c r="V303" s="247"/>
    </row>
    <row r="304" spans="1:22">
      <c r="A304" s="252"/>
      <c r="B304" s="39"/>
      <c r="C304" s="310" t="s">
        <v>389</v>
      </c>
      <c r="D304" s="254"/>
      <c r="E304" s="257"/>
      <c r="F304" s="257"/>
      <c r="G304" s="257"/>
      <c r="H304" s="257"/>
      <c r="I304" s="257">
        <f t="shared" ref="I304:I314" si="7">PRODUCT(E304:H304)</f>
        <v>0</v>
      </c>
      <c r="J304" s="244"/>
      <c r="K304" s="258"/>
      <c r="L304" s="258"/>
      <c r="M304" s="258"/>
      <c r="N304" s="258"/>
      <c r="O304" s="258"/>
      <c r="P304" s="259"/>
      <c r="Q304" s="247"/>
      <c r="R304" s="247"/>
      <c r="S304" s="247"/>
      <c r="T304" s="247"/>
      <c r="U304" s="247"/>
      <c r="V304" s="247"/>
    </row>
    <row r="305" spans="1:22">
      <c r="A305" s="252"/>
      <c r="B305" s="39"/>
      <c r="C305" s="253" t="s">
        <v>390</v>
      </c>
      <c r="D305" s="254"/>
      <c r="E305" s="257"/>
      <c r="F305" s="257"/>
      <c r="G305" s="257"/>
      <c r="H305" s="257">
        <v>37.020000000000003</v>
      </c>
      <c r="I305" s="257">
        <f t="shared" si="7"/>
        <v>37.020000000000003</v>
      </c>
      <c r="J305" s="244"/>
      <c r="K305" s="258"/>
      <c r="L305" s="258"/>
      <c r="M305" s="258"/>
      <c r="N305" s="258"/>
      <c r="O305" s="258"/>
      <c r="P305" s="259"/>
      <c r="Q305" s="247"/>
      <c r="R305" s="247"/>
      <c r="S305" s="247"/>
      <c r="T305" s="247"/>
      <c r="U305" s="247"/>
      <c r="V305" s="247"/>
    </row>
    <row r="306" spans="1:22">
      <c r="A306" s="252"/>
      <c r="B306" s="39"/>
      <c r="C306" s="253" t="s">
        <v>391</v>
      </c>
      <c r="D306" s="254"/>
      <c r="E306" s="257"/>
      <c r="F306" s="257"/>
      <c r="G306" s="257"/>
      <c r="H306" s="257">
        <v>16.45</v>
      </c>
      <c r="I306" s="257">
        <f t="shared" si="7"/>
        <v>16.45</v>
      </c>
      <c r="J306" s="244"/>
      <c r="K306" s="258"/>
      <c r="L306" s="258"/>
      <c r="M306" s="258"/>
      <c r="N306" s="258"/>
      <c r="O306" s="258"/>
      <c r="P306" s="259"/>
      <c r="Q306" s="247"/>
      <c r="R306" s="247"/>
      <c r="S306" s="247"/>
      <c r="T306" s="247"/>
      <c r="U306" s="247"/>
      <c r="V306" s="247"/>
    </row>
    <row r="307" spans="1:22">
      <c r="A307" s="252"/>
      <c r="B307" s="39"/>
      <c r="C307" s="253" t="s">
        <v>392</v>
      </c>
      <c r="D307" s="254"/>
      <c r="E307" s="257"/>
      <c r="F307" s="257"/>
      <c r="G307" s="257"/>
      <c r="H307" s="257">
        <v>2.4500000000000002</v>
      </c>
      <c r="I307" s="257">
        <f t="shared" si="7"/>
        <v>2.4500000000000002</v>
      </c>
      <c r="J307" s="244"/>
      <c r="K307" s="258"/>
      <c r="L307" s="258"/>
      <c r="M307" s="258"/>
      <c r="N307" s="258"/>
      <c r="O307" s="258"/>
      <c r="P307" s="259"/>
      <c r="Q307" s="247"/>
      <c r="R307" s="247"/>
      <c r="S307" s="247"/>
      <c r="T307" s="247"/>
      <c r="U307" s="247"/>
      <c r="V307" s="247"/>
    </row>
    <row r="308" spans="1:22">
      <c r="A308" s="252"/>
      <c r="B308" s="39"/>
      <c r="C308" s="310" t="s">
        <v>393</v>
      </c>
      <c r="D308" s="254"/>
      <c r="E308" s="257"/>
      <c r="F308" s="257"/>
      <c r="G308" s="257"/>
      <c r="H308" s="257"/>
      <c r="I308" s="257">
        <f t="shared" si="7"/>
        <v>0</v>
      </c>
      <c r="J308" s="244"/>
      <c r="K308" s="258"/>
      <c r="L308" s="258"/>
      <c r="M308" s="258"/>
      <c r="N308" s="258"/>
      <c r="O308" s="258"/>
      <c r="P308" s="259"/>
      <c r="Q308" s="247"/>
      <c r="R308" s="247"/>
      <c r="S308" s="247"/>
      <c r="T308" s="247"/>
      <c r="U308" s="247"/>
      <c r="V308" s="247"/>
    </row>
    <row r="309" spans="1:22">
      <c r="A309" s="252"/>
      <c r="B309" s="39"/>
      <c r="C309" s="253" t="s">
        <v>390</v>
      </c>
      <c r="D309" s="254"/>
      <c r="E309" s="257"/>
      <c r="F309" s="257"/>
      <c r="G309" s="257"/>
      <c r="H309" s="257">
        <v>37.020000000000003</v>
      </c>
      <c r="I309" s="257">
        <f t="shared" si="7"/>
        <v>37.020000000000003</v>
      </c>
      <c r="J309" s="244"/>
      <c r="K309" s="258"/>
      <c r="L309" s="258"/>
      <c r="M309" s="258"/>
      <c r="N309" s="258"/>
      <c r="O309" s="258"/>
      <c r="P309" s="259"/>
      <c r="Q309" s="247"/>
      <c r="R309" s="247"/>
      <c r="S309" s="247"/>
      <c r="T309" s="247"/>
      <c r="U309" s="247"/>
      <c r="V309" s="247"/>
    </row>
    <row r="310" spans="1:22">
      <c r="A310" s="252"/>
      <c r="B310" s="39"/>
      <c r="C310" s="253" t="s">
        <v>391</v>
      </c>
      <c r="D310" s="254"/>
      <c r="E310" s="257"/>
      <c r="F310" s="257"/>
      <c r="G310" s="257"/>
      <c r="H310" s="257">
        <v>25.61</v>
      </c>
      <c r="I310" s="257">
        <f t="shared" si="7"/>
        <v>25.61</v>
      </c>
      <c r="J310" s="244"/>
      <c r="K310" s="258"/>
      <c r="L310" s="258"/>
      <c r="M310" s="258"/>
      <c r="N310" s="258"/>
      <c r="O310" s="258"/>
      <c r="P310" s="259"/>
      <c r="Q310" s="247"/>
      <c r="R310" s="247"/>
      <c r="S310" s="247"/>
      <c r="T310" s="247"/>
      <c r="U310" s="247"/>
      <c r="V310" s="247"/>
    </row>
    <row r="311" spans="1:22">
      <c r="A311" s="252"/>
      <c r="B311" s="39"/>
      <c r="C311" s="253" t="s">
        <v>392</v>
      </c>
      <c r="D311" s="254"/>
      <c r="E311" s="257"/>
      <c r="F311" s="257"/>
      <c r="G311" s="257"/>
      <c r="H311" s="257">
        <v>2.4500000000000002</v>
      </c>
      <c r="I311" s="257">
        <f t="shared" si="7"/>
        <v>2.4500000000000002</v>
      </c>
      <c r="J311" s="244"/>
      <c r="K311" s="258"/>
      <c r="L311" s="258"/>
      <c r="M311" s="258"/>
      <c r="N311" s="258"/>
      <c r="O311" s="258"/>
      <c r="P311" s="259"/>
      <c r="Q311" s="247"/>
      <c r="R311" s="247"/>
      <c r="S311" s="247"/>
      <c r="T311" s="247"/>
      <c r="U311" s="247"/>
      <c r="V311" s="247"/>
    </row>
    <row r="312" spans="1:22">
      <c r="A312" s="252"/>
      <c r="B312" s="39"/>
      <c r="C312" s="310" t="s">
        <v>394</v>
      </c>
      <c r="D312" s="254"/>
      <c r="E312" s="257"/>
      <c r="F312" s="257"/>
      <c r="G312" s="257"/>
      <c r="H312" s="257"/>
      <c r="I312" s="257">
        <f t="shared" si="7"/>
        <v>0</v>
      </c>
      <c r="J312" s="244"/>
      <c r="K312" s="258"/>
      <c r="L312" s="258"/>
      <c r="M312" s="258"/>
      <c r="N312" s="258"/>
      <c r="O312" s="258"/>
      <c r="P312" s="259"/>
      <c r="Q312" s="247"/>
      <c r="R312" s="247"/>
      <c r="S312" s="247"/>
      <c r="T312" s="247"/>
      <c r="U312" s="247"/>
      <c r="V312" s="247"/>
    </row>
    <row r="313" spans="1:22">
      <c r="A313" s="252"/>
      <c r="B313" s="39"/>
      <c r="C313" s="253" t="s">
        <v>395</v>
      </c>
      <c r="D313" s="254"/>
      <c r="E313" s="257"/>
      <c r="F313" s="257"/>
      <c r="G313" s="257">
        <v>3</v>
      </c>
      <c r="H313" s="257">
        <v>9.9700000000000006</v>
      </c>
      <c r="I313" s="257">
        <f t="shared" si="7"/>
        <v>29.910000000000004</v>
      </c>
      <c r="J313" s="244"/>
      <c r="K313" s="258"/>
      <c r="L313" s="258"/>
      <c r="M313" s="258"/>
      <c r="N313" s="258"/>
      <c r="O313" s="258"/>
      <c r="P313" s="259"/>
      <c r="Q313" s="247"/>
      <c r="R313" s="247"/>
      <c r="S313" s="247"/>
      <c r="T313" s="247"/>
      <c r="U313" s="247"/>
      <c r="V313" s="247"/>
    </row>
    <row r="314" spans="1:22">
      <c r="A314" s="252"/>
      <c r="B314" s="39"/>
      <c r="C314" s="253" t="s">
        <v>392</v>
      </c>
      <c r="D314" s="254"/>
      <c r="E314" s="257"/>
      <c r="F314" s="257"/>
      <c r="G314" s="257">
        <v>3</v>
      </c>
      <c r="H314" s="257">
        <v>1.61</v>
      </c>
      <c r="I314" s="257">
        <f t="shared" si="7"/>
        <v>4.83</v>
      </c>
      <c r="J314" s="244"/>
      <c r="K314" s="258"/>
      <c r="L314" s="258"/>
      <c r="M314" s="258"/>
      <c r="N314" s="258"/>
      <c r="O314" s="258"/>
      <c r="P314" s="259"/>
      <c r="Q314" s="247"/>
      <c r="R314" s="247"/>
      <c r="S314" s="247"/>
      <c r="T314" s="247"/>
      <c r="U314" s="247"/>
      <c r="V314" s="247"/>
    </row>
    <row r="315" spans="1:22">
      <c r="A315" s="252"/>
      <c r="B315" s="39"/>
      <c r="C315" s="253"/>
      <c r="D315" s="350"/>
      <c r="E315" s="351"/>
      <c r="F315" s="352"/>
      <c r="G315" s="351"/>
      <c r="H315" s="353"/>
      <c r="I315" s="257"/>
      <c r="J315" s="244"/>
      <c r="K315" s="258"/>
      <c r="L315" s="258"/>
      <c r="M315" s="258"/>
      <c r="N315" s="258"/>
      <c r="O315" s="258"/>
      <c r="P315" s="259"/>
      <c r="Q315" s="247"/>
      <c r="R315" s="247"/>
      <c r="S315" s="247"/>
      <c r="T315" s="247"/>
      <c r="U315" s="247"/>
      <c r="V315" s="247"/>
    </row>
    <row r="316" spans="1:22" s="356" customFormat="1">
      <c r="A316" s="252"/>
      <c r="B316" s="37"/>
      <c r="C316" s="38"/>
      <c r="D316" s="39"/>
      <c r="E316" s="257"/>
      <c r="F316" s="257"/>
      <c r="G316" s="257"/>
      <c r="H316" s="354" t="s">
        <v>253</v>
      </c>
      <c r="I316" s="344">
        <f>SUM(I304:I315)</f>
        <v>155.74</v>
      </c>
      <c r="J316" s="244"/>
      <c r="K316" s="258"/>
      <c r="L316" s="258"/>
      <c r="M316" s="258"/>
      <c r="N316" s="258"/>
      <c r="O316" s="258"/>
      <c r="P316" s="259"/>
      <c r="Q316" s="355"/>
      <c r="R316" s="355"/>
      <c r="S316" s="355"/>
      <c r="T316" s="355"/>
      <c r="U316" s="355"/>
      <c r="V316" s="355"/>
    </row>
    <row r="317" spans="1:22">
      <c r="A317" s="252"/>
      <c r="B317" s="37"/>
      <c r="C317" s="260"/>
      <c r="D317" s="39"/>
      <c r="E317" s="257"/>
      <c r="F317" s="257"/>
      <c r="G317" s="257"/>
      <c r="H317" s="294"/>
      <c r="I317" s="294"/>
      <c r="J317" s="244"/>
      <c r="K317" s="258"/>
      <c r="L317" s="258"/>
      <c r="M317" s="258"/>
      <c r="N317" s="258"/>
      <c r="O317" s="258"/>
      <c r="P317" s="259"/>
      <c r="Q317" s="247"/>
      <c r="R317" s="247"/>
      <c r="S317" s="247"/>
      <c r="T317" s="247"/>
      <c r="U317" s="247"/>
      <c r="V317" s="247"/>
    </row>
    <row r="318" spans="1:22" s="278" customFormat="1">
      <c r="A318" s="248" t="s">
        <v>104</v>
      </c>
      <c r="B318" s="248"/>
      <c r="C318" s="249" t="s">
        <v>105</v>
      </c>
      <c r="D318" s="254"/>
      <c r="E318" s="257"/>
      <c r="F318" s="257"/>
      <c r="G318" s="257"/>
      <c r="H318" s="257"/>
      <c r="I318" s="274"/>
      <c r="J318" s="244"/>
      <c r="K318" s="258"/>
      <c r="L318" s="258"/>
      <c r="M318" s="286"/>
      <c r="N318" s="286"/>
      <c r="O318" s="286"/>
      <c r="P318" s="287"/>
      <c r="Q318" s="277"/>
      <c r="R318" s="277"/>
      <c r="S318" s="277"/>
      <c r="T318" s="277"/>
      <c r="U318" s="277"/>
      <c r="V318" s="277"/>
    </row>
    <row r="319" spans="1:22" s="278" customFormat="1" ht="38.25">
      <c r="A319" s="252" t="s">
        <v>106</v>
      </c>
      <c r="B319" s="37" t="s">
        <v>107</v>
      </c>
      <c r="C319" s="38" t="str">
        <f>VLOOKUP($B319,SINAPI!$C$6:J6221,2,0)</f>
        <v>PISO INTETRAVADO COM 0,10X0,20X0,08 M NATURAL, ASSENTADA SOBRE COLCHÃO DE AREIA, INCLUSIVE REGULARIZAÇÃO MANUAL DO TERRENO</v>
      </c>
      <c r="D319" s="39" t="str">
        <f>VLOOKUP($B319,SINAPI!$C$6:K6221,3,0)</f>
        <v>M2</v>
      </c>
      <c r="E319" s="257"/>
      <c r="F319" s="257"/>
      <c r="G319" s="257"/>
      <c r="H319" s="257"/>
      <c r="I319" s="274">
        <f>I325</f>
        <v>96.72999999999999</v>
      </c>
      <c r="J319" s="244"/>
      <c r="K319" s="245">
        <f>VLOOKUP($B319,SINAPI!$C$6:R6221,4,0)</f>
        <v>54.335999999999991</v>
      </c>
      <c r="L319" s="245"/>
      <c r="M319" s="275"/>
      <c r="N319" s="275"/>
      <c r="O319" s="275"/>
      <c r="P319" s="276">
        <f>SUM(K319:O319)</f>
        <v>54.335999999999991</v>
      </c>
      <c r="Q319" s="277"/>
      <c r="R319" s="277"/>
      <c r="S319" s="277"/>
      <c r="T319" s="277"/>
      <c r="U319" s="277"/>
      <c r="V319" s="277"/>
    </row>
    <row r="320" spans="1:22" s="278" customFormat="1">
      <c r="A320" s="252"/>
      <c r="B320" s="37"/>
      <c r="C320" s="38"/>
      <c r="D320" s="39"/>
      <c r="E320" s="257"/>
      <c r="F320" s="257"/>
      <c r="G320" s="257"/>
      <c r="H320" s="257"/>
      <c r="I320" s="274"/>
      <c r="J320" s="244"/>
      <c r="K320" s="245"/>
      <c r="L320" s="245"/>
      <c r="M320" s="275"/>
      <c r="N320" s="275"/>
      <c r="O320" s="275"/>
      <c r="P320" s="276"/>
      <c r="Q320" s="277"/>
      <c r="R320" s="277"/>
      <c r="S320" s="277"/>
      <c r="T320" s="277"/>
      <c r="U320" s="277"/>
      <c r="V320" s="277"/>
    </row>
    <row r="321" spans="1:22">
      <c r="A321" s="252"/>
      <c r="B321" s="252"/>
      <c r="C321" s="310" t="s">
        <v>413</v>
      </c>
      <c r="D321" s="267"/>
      <c r="E321" s="250"/>
      <c r="F321" s="250"/>
      <c r="G321" s="250"/>
      <c r="H321" s="357">
        <v>50.73</v>
      </c>
      <c r="I321" s="257">
        <f>PRODUCT(E321:H321)</f>
        <v>50.73</v>
      </c>
      <c r="J321" s="244"/>
      <c r="K321" s="282"/>
      <c r="L321" s="282"/>
      <c r="M321" s="282"/>
      <c r="N321" s="282"/>
      <c r="O321" s="282"/>
      <c r="P321" s="282"/>
      <c r="Q321" s="247"/>
      <c r="R321" s="247"/>
      <c r="S321" s="247"/>
      <c r="T321" s="247"/>
      <c r="U321" s="247"/>
      <c r="V321" s="247"/>
    </row>
    <row r="322" spans="1:22">
      <c r="A322" s="252"/>
      <c r="B322" s="252"/>
      <c r="C322" s="310"/>
      <c r="D322" s="267"/>
      <c r="E322" s="250"/>
      <c r="F322" s="250"/>
      <c r="G322" s="250"/>
      <c r="H322" s="357"/>
      <c r="I322" s="257">
        <f>PRODUCT(E322:H322)</f>
        <v>0</v>
      </c>
      <c r="J322" s="244"/>
      <c r="K322" s="282"/>
      <c r="L322" s="282"/>
      <c r="M322" s="282"/>
      <c r="N322" s="282"/>
      <c r="O322" s="282"/>
      <c r="P322" s="282"/>
      <c r="Q322" s="247"/>
      <c r="R322" s="247"/>
      <c r="S322" s="247"/>
      <c r="T322" s="247"/>
      <c r="U322" s="247"/>
      <c r="V322" s="247"/>
    </row>
    <row r="323" spans="1:22">
      <c r="A323" s="252"/>
      <c r="B323" s="252"/>
      <c r="C323" s="310" t="s">
        <v>414</v>
      </c>
      <c r="D323" s="267"/>
      <c r="E323" s="250"/>
      <c r="F323" s="250"/>
      <c r="G323" s="250"/>
      <c r="H323" s="357">
        <v>46</v>
      </c>
      <c r="I323" s="257">
        <f>PRODUCT(E323:H323)</f>
        <v>46</v>
      </c>
      <c r="J323" s="244"/>
      <c r="K323" s="282"/>
      <c r="L323" s="282"/>
      <c r="M323" s="282"/>
      <c r="N323" s="282"/>
      <c r="O323" s="282"/>
      <c r="P323" s="282"/>
      <c r="Q323" s="247"/>
      <c r="R323" s="247"/>
      <c r="S323" s="247"/>
      <c r="T323" s="247"/>
      <c r="U323" s="247"/>
      <c r="V323" s="247"/>
    </row>
    <row r="324" spans="1:22">
      <c r="A324" s="252"/>
      <c r="B324" s="252"/>
      <c r="C324" s="282"/>
      <c r="D324" s="267"/>
      <c r="E324" s="250"/>
      <c r="F324" s="250"/>
      <c r="G324" s="250"/>
      <c r="H324" s="357"/>
      <c r="I324" s="257">
        <f>PRODUCT(E324:H324)</f>
        <v>0</v>
      </c>
      <c r="J324" s="244"/>
      <c r="K324" s="282"/>
      <c r="L324" s="282"/>
      <c r="M324" s="282"/>
      <c r="N324" s="282"/>
      <c r="O324" s="282"/>
      <c r="P324" s="282"/>
      <c r="Q324" s="247"/>
      <c r="R324" s="247"/>
      <c r="S324" s="247"/>
      <c r="T324" s="247"/>
      <c r="U324" s="247"/>
      <c r="V324" s="247"/>
    </row>
    <row r="325" spans="1:22" s="278" customFormat="1">
      <c r="A325" s="252"/>
      <c r="B325" s="252"/>
      <c r="C325" s="282"/>
      <c r="D325" s="37"/>
      <c r="E325" s="280"/>
      <c r="F325" s="280"/>
      <c r="G325" s="280"/>
      <c r="H325" s="358" t="s">
        <v>253</v>
      </c>
      <c r="I325" s="359">
        <f>SUM(I321:I324)</f>
        <v>96.72999999999999</v>
      </c>
      <c r="J325" s="244"/>
      <c r="K325" s="282"/>
      <c r="L325" s="282"/>
      <c r="M325" s="283"/>
      <c r="N325" s="283"/>
      <c r="O325" s="283"/>
      <c r="P325" s="283"/>
      <c r="Q325" s="277"/>
      <c r="R325" s="277"/>
      <c r="S325" s="277"/>
      <c r="T325" s="277"/>
      <c r="U325" s="277"/>
      <c r="V325" s="277"/>
    </row>
    <row r="326" spans="1:22" s="278" customFormat="1">
      <c r="A326" s="252"/>
      <c r="B326" s="252"/>
      <c r="C326" s="282"/>
      <c r="D326" s="37"/>
      <c r="E326" s="280"/>
      <c r="F326" s="280"/>
      <c r="G326" s="280"/>
      <c r="H326" s="360"/>
      <c r="I326" s="257"/>
      <c r="J326" s="244"/>
      <c r="K326" s="282"/>
      <c r="L326" s="282"/>
      <c r="M326" s="283"/>
      <c r="N326" s="283"/>
      <c r="O326" s="283"/>
      <c r="P326" s="283"/>
      <c r="Q326" s="277"/>
      <c r="R326" s="277"/>
      <c r="S326" s="277"/>
      <c r="T326" s="277"/>
      <c r="U326" s="277"/>
      <c r="V326" s="277"/>
    </row>
    <row r="327" spans="1:22" s="278" customFormat="1">
      <c r="A327" s="252"/>
      <c r="B327" s="39"/>
      <c r="C327" s="253"/>
      <c r="D327" s="254"/>
      <c r="E327" s="257"/>
      <c r="F327" s="257"/>
      <c r="G327" s="257"/>
      <c r="H327" s="294"/>
      <c r="I327" s="257"/>
      <c r="J327" s="244"/>
      <c r="K327" s="258"/>
      <c r="L327" s="258"/>
      <c r="M327" s="286"/>
      <c r="N327" s="286"/>
      <c r="O327" s="286"/>
      <c r="P327" s="287"/>
      <c r="Q327" s="277"/>
      <c r="R327" s="277"/>
      <c r="S327" s="277"/>
      <c r="T327" s="277"/>
      <c r="U327" s="277"/>
      <c r="V327" s="277"/>
    </row>
    <row r="328" spans="1:22" s="278" customFormat="1" ht="49.5" customHeight="1">
      <c r="A328" s="252" t="s">
        <v>108</v>
      </c>
      <c r="B328" s="37" t="s">
        <v>109</v>
      </c>
      <c r="C328" s="38" t="str">
        <f>VLOOKUP($B328,SINAPI!$C$6:J6362,2,0)</f>
        <v>PISO INTETRAVADO COM 0,10X0,20X0,08 M GRAFITE, ASSENTADA SOBRE COLCHÃO DE AREIA, INCLUSIVE REGULARIZAÇÃO MANUAL DO TERRENO</v>
      </c>
      <c r="D328" s="39" t="str">
        <f>VLOOKUP($B328,SINAPI!$C$6:K6362,3,0)</f>
        <v>M2</v>
      </c>
      <c r="E328" s="257"/>
      <c r="F328" s="257"/>
      <c r="G328" s="257"/>
      <c r="H328" s="257"/>
      <c r="I328" s="274">
        <f>I334</f>
        <v>95.12</v>
      </c>
      <c r="J328" s="244"/>
      <c r="K328" s="245">
        <f>VLOOKUP($B328,SINAPI!$C$6:R6362,4,0)</f>
        <v>63.545999999999992</v>
      </c>
      <c r="L328" s="245"/>
      <c r="M328" s="275"/>
      <c r="N328" s="275"/>
      <c r="O328" s="275"/>
      <c r="P328" s="276">
        <f>SUM(K328:O328)</f>
        <v>63.545999999999992</v>
      </c>
      <c r="Q328" s="277"/>
      <c r="R328" s="277"/>
      <c r="S328" s="277"/>
      <c r="T328" s="277"/>
      <c r="U328" s="277"/>
      <c r="V328" s="277"/>
    </row>
    <row r="329" spans="1:22" s="278" customFormat="1">
      <c r="A329" s="252"/>
      <c r="B329" s="252"/>
      <c r="C329" s="361"/>
      <c r="D329" s="362"/>
      <c r="E329" s="363"/>
      <c r="F329" s="351"/>
      <c r="G329" s="351"/>
      <c r="H329" s="257"/>
      <c r="I329" s="274"/>
      <c r="J329" s="244"/>
      <c r="K329" s="364"/>
      <c r="L329" s="364"/>
      <c r="M329" s="365"/>
      <c r="N329" s="365"/>
      <c r="O329" s="365"/>
      <c r="P329" s="365"/>
      <c r="Q329" s="277"/>
      <c r="R329" s="277"/>
      <c r="S329" s="277"/>
      <c r="T329" s="277"/>
      <c r="U329" s="277"/>
      <c r="V329" s="277"/>
    </row>
    <row r="330" spans="1:22" s="278" customFormat="1">
      <c r="A330" s="252"/>
      <c r="B330" s="252"/>
      <c r="C330" s="310" t="s">
        <v>413</v>
      </c>
      <c r="D330" s="267"/>
      <c r="E330" s="250"/>
      <c r="F330" s="250"/>
      <c r="G330" s="250"/>
      <c r="H330" s="357">
        <v>45.09</v>
      </c>
      <c r="I330" s="257">
        <f>PRODUCT(E330:H330)</f>
        <v>45.09</v>
      </c>
      <c r="J330" s="244"/>
      <c r="K330" s="364"/>
      <c r="L330" s="364"/>
      <c r="M330" s="365"/>
      <c r="N330" s="365"/>
      <c r="O330" s="365"/>
      <c r="P330" s="365"/>
      <c r="Q330" s="277"/>
      <c r="R330" s="277"/>
      <c r="S330" s="277"/>
      <c r="T330" s="277"/>
      <c r="U330" s="277"/>
      <c r="V330" s="277"/>
    </row>
    <row r="331" spans="1:22" s="278" customFormat="1">
      <c r="A331" s="252"/>
      <c r="B331" s="252"/>
      <c r="C331" s="310"/>
      <c r="D331" s="267"/>
      <c r="E331" s="250"/>
      <c r="F331" s="250"/>
      <c r="G331" s="250"/>
      <c r="H331" s="357"/>
      <c r="I331" s="257">
        <f>PRODUCT(E331:H331)</f>
        <v>0</v>
      </c>
      <c r="J331" s="244"/>
      <c r="K331" s="364"/>
      <c r="L331" s="364"/>
      <c r="M331" s="365"/>
      <c r="N331" s="365"/>
      <c r="O331" s="365"/>
      <c r="P331" s="365"/>
      <c r="Q331" s="277"/>
      <c r="R331" s="277"/>
      <c r="S331" s="277"/>
      <c r="T331" s="277"/>
      <c r="U331" s="277"/>
      <c r="V331" s="277"/>
    </row>
    <row r="332" spans="1:22" s="278" customFormat="1">
      <c r="A332" s="252"/>
      <c r="B332" s="252"/>
      <c r="C332" s="310" t="s">
        <v>414</v>
      </c>
      <c r="D332" s="267"/>
      <c r="E332" s="250"/>
      <c r="F332" s="250"/>
      <c r="G332" s="250"/>
      <c r="H332" s="357">
        <v>50.03</v>
      </c>
      <c r="I332" s="257">
        <f>PRODUCT(E332:H332)</f>
        <v>50.03</v>
      </c>
      <c r="J332" s="244"/>
      <c r="K332" s="364"/>
      <c r="L332" s="364"/>
      <c r="M332" s="365"/>
      <c r="N332" s="365"/>
      <c r="O332" s="365"/>
      <c r="P332" s="365"/>
      <c r="Q332" s="277"/>
      <c r="R332" s="277"/>
      <c r="S332" s="277"/>
      <c r="T332" s="277"/>
      <c r="U332" s="277"/>
      <c r="V332" s="277"/>
    </row>
    <row r="333" spans="1:22" s="278" customFormat="1">
      <c r="A333" s="252"/>
      <c r="B333" s="252"/>
      <c r="C333" s="282"/>
      <c r="D333" s="267"/>
      <c r="E333" s="250"/>
      <c r="F333" s="250"/>
      <c r="G333" s="250"/>
      <c r="H333" s="357"/>
      <c r="I333" s="257">
        <f>PRODUCT(E333:H333)</f>
        <v>0</v>
      </c>
      <c r="J333" s="244"/>
      <c r="K333" s="364"/>
      <c r="L333" s="364"/>
      <c r="M333" s="365"/>
      <c r="N333" s="365"/>
      <c r="O333" s="365"/>
      <c r="P333" s="365"/>
      <c r="Q333" s="277"/>
      <c r="R333" s="277"/>
      <c r="S333" s="277"/>
      <c r="T333" s="277"/>
      <c r="U333" s="277"/>
      <c r="V333" s="277"/>
    </row>
    <row r="334" spans="1:22" s="278" customFormat="1">
      <c r="A334" s="252"/>
      <c r="B334" s="252"/>
      <c r="C334" s="361"/>
      <c r="D334" s="362"/>
      <c r="E334" s="363"/>
      <c r="F334" s="351"/>
      <c r="G334" s="351"/>
      <c r="H334" s="358" t="s">
        <v>253</v>
      </c>
      <c r="I334" s="359">
        <f>SUM(I330:I333)</f>
        <v>95.12</v>
      </c>
      <c r="J334" s="244"/>
      <c r="K334" s="364"/>
      <c r="L334" s="364"/>
      <c r="M334" s="365"/>
      <c r="N334" s="365"/>
      <c r="O334" s="365"/>
      <c r="P334" s="365"/>
      <c r="Q334" s="277"/>
      <c r="R334" s="277"/>
      <c r="S334" s="277"/>
      <c r="T334" s="277"/>
      <c r="U334" s="277"/>
      <c r="V334" s="277"/>
    </row>
    <row r="335" spans="1:22" s="278" customFormat="1">
      <c r="A335" s="252"/>
      <c r="B335" s="366"/>
      <c r="C335" s="361"/>
      <c r="D335" s="362"/>
      <c r="E335" s="363"/>
      <c r="F335" s="351"/>
      <c r="G335" s="351"/>
      <c r="H335" s="336"/>
      <c r="I335" s="336"/>
      <c r="J335" s="244"/>
      <c r="K335" s="364"/>
      <c r="L335" s="364"/>
      <c r="M335" s="365"/>
      <c r="N335" s="365"/>
      <c r="O335" s="365"/>
      <c r="P335" s="365"/>
      <c r="Q335" s="277"/>
      <c r="R335" s="277"/>
      <c r="S335" s="277"/>
      <c r="T335" s="277"/>
      <c r="U335" s="277"/>
      <c r="V335" s="277"/>
    </row>
    <row r="336" spans="1:22" s="278" customFormat="1">
      <c r="A336" s="252"/>
      <c r="B336" s="252"/>
      <c r="C336" s="282"/>
      <c r="D336" s="37"/>
      <c r="E336" s="280"/>
      <c r="F336" s="280"/>
      <c r="G336" s="280"/>
      <c r="H336" s="357"/>
      <c r="I336" s="257"/>
      <c r="J336" s="244"/>
      <c r="K336" s="364"/>
      <c r="L336" s="364"/>
      <c r="M336" s="365"/>
      <c r="N336" s="365"/>
      <c r="O336" s="365"/>
      <c r="P336" s="365"/>
      <c r="Q336" s="277"/>
      <c r="R336" s="277"/>
      <c r="S336" s="277"/>
      <c r="T336" s="277"/>
      <c r="U336" s="277"/>
      <c r="V336" s="277"/>
    </row>
    <row r="337" spans="1:22" s="278" customFormat="1" ht="57" customHeight="1">
      <c r="A337" s="252" t="s">
        <v>110</v>
      </c>
      <c r="B337" s="37" t="s">
        <v>111</v>
      </c>
      <c r="C337" s="38" t="str">
        <f>VLOOKUP($B337,SINAPI!$C$6:J6396,2,0)</f>
        <v>PEÇA DE ARREMATE EM CONCRETO MOLDADO NO LOCAL, DIM. (0,10X0,50X0,20)M, REJUNTADO EM ARGAMASSA NO TRACO 1:3,5 (CIMENTO E AREIA)</v>
      </c>
      <c r="D337" s="39" t="str">
        <f>VLOOKUP($B337,SINAPI!$C$6:K6396,3,0)</f>
        <v>M</v>
      </c>
      <c r="E337" s="257"/>
      <c r="F337" s="257"/>
      <c r="G337" s="257"/>
      <c r="H337" s="257"/>
      <c r="I337" s="274">
        <f>I342</f>
        <v>220.96</v>
      </c>
      <c r="J337" s="244"/>
      <c r="K337" s="245">
        <f>VLOOKUP($B337,SINAPI!$C$6:R6396,4,0)</f>
        <v>90.380149999999986</v>
      </c>
      <c r="L337" s="245"/>
      <c r="M337" s="275"/>
      <c r="N337" s="275"/>
      <c r="O337" s="275"/>
      <c r="P337" s="276">
        <f>SUM(K337:O337)</f>
        <v>90.380149999999986</v>
      </c>
      <c r="Q337" s="277"/>
      <c r="R337" s="277"/>
      <c r="S337" s="277"/>
      <c r="T337" s="277"/>
      <c r="U337" s="277"/>
      <c r="V337" s="277"/>
    </row>
    <row r="338" spans="1:22" s="278" customFormat="1">
      <c r="A338" s="252"/>
      <c r="B338" s="252"/>
      <c r="C338" s="361"/>
      <c r="D338" s="362"/>
      <c r="E338" s="363"/>
      <c r="F338" s="351" t="s">
        <v>415</v>
      </c>
      <c r="G338" s="351" t="s">
        <v>415</v>
      </c>
      <c r="H338" s="257" t="s">
        <v>415</v>
      </c>
      <c r="I338" s="257"/>
      <c r="J338" s="244"/>
      <c r="K338" s="364"/>
      <c r="L338" s="364"/>
      <c r="M338" s="365"/>
      <c r="N338" s="365"/>
      <c r="O338" s="365"/>
      <c r="P338" s="365"/>
      <c r="Q338" s="277"/>
      <c r="R338" s="277"/>
      <c r="S338" s="277"/>
      <c r="T338" s="277"/>
      <c r="U338" s="277"/>
      <c r="V338" s="277"/>
    </row>
    <row r="339" spans="1:22" s="278" customFormat="1">
      <c r="A339" s="252"/>
      <c r="B339" s="252"/>
      <c r="C339" s="310" t="s">
        <v>413</v>
      </c>
      <c r="D339" s="267"/>
      <c r="E339" s="250"/>
      <c r="F339" s="250"/>
      <c r="G339" s="250"/>
      <c r="H339" s="357">
        <v>133.44999999999999</v>
      </c>
      <c r="I339" s="257">
        <f>PRODUCT(E339:H339)</f>
        <v>133.44999999999999</v>
      </c>
      <c r="J339" s="244"/>
      <c r="K339" s="364"/>
      <c r="L339" s="364"/>
      <c r="M339" s="365"/>
      <c r="N339" s="365"/>
      <c r="O339" s="365"/>
      <c r="P339" s="365"/>
      <c r="Q339" s="277"/>
      <c r="R339" s="277"/>
      <c r="S339" s="277"/>
      <c r="T339" s="277"/>
      <c r="U339" s="277"/>
      <c r="V339" s="277"/>
    </row>
    <row r="340" spans="1:22" s="278" customFormat="1">
      <c r="A340" s="252"/>
      <c r="B340" s="252"/>
      <c r="C340" s="310"/>
      <c r="D340" s="267"/>
      <c r="E340" s="250"/>
      <c r="F340" s="250"/>
      <c r="G340" s="250"/>
      <c r="H340" s="357"/>
      <c r="I340" s="257">
        <f>PRODUCT(E340:H340)</f>
        <v>0</v>
      </c>
      <c r="J340" s="244"/>
      <c r="K340" s="364"/>
      <c r="L340" s="364"/>
      <c r="M340" s="365"/>
      <c r="N340" s="365"/>
      <c r="O340" s="365"/>
      <c r="P340" s="365"/>
      <c r="Q340" s="277"/>
      <c r="R340" s="277"/>
      <c r="S340" s="277"/>
      <c r="T340" s="277"/>
      <c r="U340" s="277"/>
      <c r="V340" s="277"/>
    </row>
    <row r="341" spans="1:22" s="278" customFormat="1">
      <c r="A341" s="252"/>
      <c r="B341" s="252"/>
      <c r="C341" s="310" t="s">
        <v>414</v>
      </c>
      <c r="D341" s="267"/>
      <c r="E341" s="250"/>
      <c r="F341" s="250"/>
      <c r="G341" s="250"/>
      <c r="H341" s="357">
        <v>220.96</v>
      </c>
      <c r="I341" s="257">
        <f>PRODUCT(E341:H341)</f>
        <v>220.96</v>
      </c>
      <c r="J341" s="244"/>
      <c r="K341" s="364"/>
      <c r="L341" s="364"/>
      <c r="M341" s="365"/>
      <c r="N341" s="365"/>
      <c r="O341" s="365"/>
      <c r="P341" s="365"/>
      <c r="Q341" s="277"/>
      <c r="R341" s="277"/>
      <c r="S341" s="277"/>
      <c r="T341" s="277"/>
      <c r="U341" s="277"/>
      <c r="V341" s="277"/>
    </row>
    <row r="342" spans="1:22" s="278" customFormat="1">
      <c r="A342" s="252"/>
      <c r="B342" s="252"/>
      <c r="C342" s="361"/>
      <c r="D342" s="362"/>
      <c r="E342" s="363"/>
      <c r="F342" s="351"/>
      <c r="G342" s="351"/>
      <c r="H342" s="358" t="s">
        <v>253</v>
      </c>
      <c r="I342" s="359">
        <f>SUM(I341:I341)</f>
        <v>220.96</v>
      </c>
      <c r="J342" s="244"/>
      <c r="K342" s="364"/>
      <c r="L342" s="364"/>
      <c r="M342" s="365"/>
      <c r="N342" s="365"/>
      <c r="O342" s="365"/>
      <c r="P342" s="365"/>
      <c r="Q342" s="277"/>
      <c r="R342" s="277"/>
      <c r="S342" s="277"/>
      <c r="T342" s="277"/>
      <c r="U342" s="277"/>
      <c r="V342" s="277"/>
    </row>
    <row r="343" spans="1:22" s="278" customFormat="1">
      <c r="A343" s="252"/>
      <c r="B343" s="252"/>
      <c r="C343" s="282"/>
      <c r="D343" s="37"/>
      <c r="E343" s="280"/>
      <c r="F343" s="280"/>
      <c r="G343" s="280"/>
      <c r="H343" s="357"/>
      <c r="I343" s="257"/>
      <c r="J343" s="244"/>
      <c r="K343" s="364"/>
      <c r="L343" s="364"/>
      <c r="M343" s="365"/>
      <c r="N343" s="365"/>
      <c r="O343" s="365"/>
      <c r="P343" s="365"/>
      <c r="Q343" s="277"/>
      <c r="R343" s="277"/>
      <c r="S343" s="277"/>
      <c r="T343" s="277"/>
      <c r="U343" s="277"/>
      <c r="V343" s="277"/>
    </row>
    <row r="344" spans="1:22" s="278" customFormat="1">
      <c r="A344" s="248" t="s">
        <v>113</v>
      </c>
      <c r="B344" s="248"/>
      <c r="C344" s="249" t="s">
        <v>114</v>
      </c>
      <c r="D344" s="254"/>
      <c r="E344" s="257"/>
      <c r="F344" s="257"/>
      <c r="G344" s="257"/>
      <c r="H344" s="257"/>
      <c r="I344" s="257"/>
      <c r="J344" s="244"/>
      <c r="K344" s="258"/>
      <c r="L344" s="258"/>
      <c r="M344" s="286"/>
      <c r="N344" s="286"/>
      <c r="O344" s="286"/>
      <c r="P344" s="287"/>
      <c r="Q344" s="277"/>
      <c r="R344" s="277"/>
      <c r="S344" s="277"/>
      <c r="T344" s="277"/>
      <c r="U344" s="277"/>
      <c r="V344" s="277"/>
    </row>
    <row r="345" spans="1:22" s="278" customFormat="1">
      <c r="A345" s="248"/>
      <c r="B345" s="248"/>
      <c r="C345" s="249"/>
      <c r="D345" s="254"/>
      <c r="E345" s="257"/>
      <c r="F345" s="257"/>
      <c r="G345" s="257"/>
      <c r="H345" s="257"/>
      <c r="I345" s="367"/>
      <c r="J345" s="244"/>
      <c r="K345" s="258"/>
      <c r="L345" s="258"/>
      <c r="M345" s="286"/>
      <c r="N345" s="286"/>
      <c r="O345" s="286"/>
      <c r="P345" s="287"/>
      <c r="Q345" s="277"/>
      <c r="R345" s="277"/>
      <c r="S345" s="277"/>
      <c r="T345" s="277"/>
      <c r="U345" s="277"/>
      <c r="V345" s="277"/>
    </row>
    <row r="346" spans="1:22" s="278" customFormat="1" ht="31.5" customHeight="1">
      <c r="A346" s="252" t="s">
        <v>115</v>
      </c>
      <c r="B346" s="37">
        <v>88483</v>
      </c>
      <c r="C346" s="38" t="str">
        <f>VLOOKUP($B346,SINAPI!$C$6:J6265,2,0)</f>
        <v>APLICAÇÃO DE FUNDO SELADOR LÁTEX PVA EM PAREDES, UMA DEMÃO. AF_06/2014</v>
      </c>
      <c r="D346" s="39" t="str">
        <f>VLOOKUP($B346,SINAPI!$C$6:K6265,3,0)</f>
        <v>M2</v>
      </c>
      <c r="E346" s="257"/>
      <c r="F346" s="257"/>
      <c r="G346" s="257"/>
      <c r="H346" s="257"/>
      <c r="I346" s="274">
        <f>I359</f>
        <v>530.31799999999998</v>
      </c>
      <c r="J346" s="244"/>
      <c r="K346" s="245">
        <f>VLOOKUP($B346,SINAPI!$C$6:R6265,4,0)</f>
        <v>4.17</v>
      </c>
      <c r="L346" s="245"/>
      <c r="M346" s="275"/>
      <c r="N346" s="275"/>
      <c r="O346" s="275"/>
      <c r="P346" s="276">
        <f>SUM(K346:O346)</f>
        <v>4.17</v>
      </c>
      <c r="Q346" s="277"/>
      <c r="R346" s="277"/>
      <c r="S346" s="277"/>
      <c r="T346" s="277"/>
      <c r="U346" s="277"/>
      <c r="V346" s="277"/>
    </row>
    <row r="347" spans="1:22" s="278" customFormat="1">
      <c r="A347" s="252"/>
      <c r="B347" s="252"/>
      <c r="C347" s="325"/>
      <c r="D347" s="39"/>
      <c r="E347" s="257"/>
      <c r="F347" s="257"/>
      <c r="G347" s="257"/>
      <c r="H347" s="257"/>
      <c r="I347" s="368"/>
      <c r="J347" s="244"/>
      <c r="K347" s="258"/>
      <c r="L347" s="258"/>
      <c r="M347" s="286"/>
      <c r="N347" s="286"/>
      <c r="O347" s="286"/>
      <c r="P347" s="287"/>
      <c r="Q347" s="277"/>
      <c r="R347" s="277"/>
      <c r="S347" s="277"/>
      <c r="T347" s="277"/>
      <c r="U347" s="277"/>
      <c r="V347" s="277"/>
    </row>
    <row r="348" spans="1:22" s="278" customFormat="1">
      <c r="A348" s="252"/>
      <c r="B348" s="252"/>
      <c r="C348" s="310" t="s">
        <v>416</v>
      </c>
      <c r="D348" s="267"/>
      <c r="E348" s="250"/>
      <c r="F348" s="250"/>
      <c r="G348" s="250">
        <v>27.77</v>
      </c>
      <c r="H348" s="357">
        <v>2</v>
      </c>
      <c r="I348" s="257">
        <f t="shared" ref="I348:I358" si="8">PRODUCT(E348:H348)</f>
        <v>55.54</v>
      </c>
      <c r="J348" s="244"/>
      <c r="K348" s="258"/>
      <c r="L348" s="258"/>
      <c r="M348" s="286"/>
      <c r="N348" s="286"/>
      <c r="O348" s="286"/>
      <c r="P348" s="287"/>
      <c r="Q348" s="277"/>
      <c r="R348" s="277"/>
      <c r="S348" s="277"/>
      <c r="T348" s="277"/>
      <c r="U348" s="277"/>
      <c r="V348" s="277"/>
    </row>
    <row r="349" spans="1:22" s="278" customFormat="1">
      <c r="A349" s="252"/>
      <c r="B349" s="252"/>
      <c r="C349" s="310"/>
      <c r="D349" s="267"/>
      <c r="E349" s="250"/>
      <c r="F349" s="250"/>
      <c r="G349" s="250">
        <v>25.64</v>
      </c>
      <c r="H349" s="357">
        <v>2</v>
      </c>
      <c r="I349" s="257">
        <f t="shared" si="8"/>
        <v>51.28</v>
      </c>
      <c r="J349" s="244"/>
      <c r="K349" s="258"/>
      <c r="L349" s="258"/>
      <c r="M349" s="286"/>
      <c r="N349" s="286"/>
      <c r="O349" s="286"/>
      <c r="P349" s="287"/>
      <c r="Q349" s="277"/>
      <c r="R349" s="277"/>
      <c r="S349" s="277"/>
      <c r="T349" s="277"/>
      <c r="U349" s="277"/>
      <c r="V349" s="277"/>
    </row>
    <row r="350" spans="1:22" s="278" customFormat="1">
      <c r="A350" s="252"/>
      <c r="B350" s="252"/>
      <c r="C350" s="310"/>
      <c r="D350" s="267"/>
      <c r="E350" s="250"/>
      <c r="F350" s="250"/>
      <c r="G350" s="250">
        <v>37.94</v>
      </c>
      <c r="H350" s="357">
        <v>0.8</v>
      </c>
      <c r="I350" s="257">
        <f t="shared" si="8"/>
        <v>30.352</v>
      </c>
      <c r="J350" s="244"/>
      <c r="K350" s="258"/>
      <c r="L350" s="258"/>
      <c r="M350" s="286"/>
      <c r="N350" s="286"/>
      <c r="O350" s="286"/>
      <c r="P350" s="287"/>
      <c r="Q350" s="277"/>
      <c r="R350" s="277"/>
      <c r="S350" s="277"/>
      <c r="T350" s="277"/>
      <c r="U350" s="277"/>
      <c r="V350" s="277"/>
    </row>
    <row r="351" spans="1:22" s="278" customFormat="1">
      <c r="A351" s="252"/>
      <c r="B351" s="252"/>
      <c r="C351" s="310"/>
      <c r="D351" s="267"/>
      <c r="E351" s="250"/>
      <c r="F351" s="250"/>
      <c r="G351" s="250">
        <v>35.39</v>
      </c>
      <c r="H351" s="357">
        <v>0.8</v>
      </c>
      <c r="I351" s="257">
        <f t="shared" si="8"/>
        <v>28.312000000000001</v>
      </c>
      <c r="J351" s="244"/>
      <c r="K351" s="258"/>
      <c r="L351" s="258"/>
      <c r="M351" s="286"/>
      <c r="N351" s="286"/>
      <c r="O351" s="286"/>
      <c r="P351" s="287"/>
      <c r="Q351" s="277"/>
      <c r="R351" s="277"/>
      <c r="S351" s="277"/>
      <c r="T351" s="277"/>
      <c r="U351" s="277"/>
      <c r="V351" s="277"/>
    </row>
    <row r="352" spans="1:22" s="278" customFormat="1">
      <c r="A352" s="252"/>
      <c r="B352" s="252"/>
      <c r="C352" s="310" t="s">
        <v>417</v>
      </c>
      <c r="D352" s="267"/>
      <c r="E352" s="250"/>
      <c r="F352" s="250"/>
      <c r="G352" s="250"/>
      <c r="H352" s="357"/>
      <c r="I352" s="257">
        <f t="shared" si="8"/>
        <v>0</v>
      </c>
      <c r="J352" s="244"/>
      <c r="K352" s="258"/>
      <c r="L352" s="258"/>
      <c r="M352" s="286"/>
      <c r="N352" s="286"/>
      <c r="O352" s="286"/>
      <c r="P352" s="287"/>
      <c r="Q352" s="277"/>
      <c r="R352" s="277"/>
      <c r="S352" s="277"/>
      <c r="T352" s="277"/>
      <c r="U352" s="277"/>
      <c r="V352" s="277"/>
    </row>
    <row r="353" spans="1:22" s="278" customFormat="1">
      <c r="A353" s="252"/>
      <c r="B353" s="252"/>
      <c r="C353" s="310"/>
      <c r="D353" s="267"/>
      <c r="E353" s="250"/>
      <c r="F353" s="250"/>
      <c r="G353" s="250">
        <v>27.77</v>
      </c>
      <c r="H353" s="357">
        <v>2</v>
      </c>
      <c r="I353" s="257">
        <f t="shared" si="8"/>
        <v>55.54</v>
      </c>
      <c r="J353" s="244"/>
      <c r="K353" s="258"/>
      <c r="L353" s="258"/>
      <c r="M353" s="286"/>
      <c r="N353" s="286"/>
      <c r="O353" s="286"/>
      <c r="P353" s="287"/>
      <c r="Q353" s="277"/>
      <c r="R353" s="277"/>
      <c r="S353" s="277"/>
      <c r="T353" s="277"/>
      <c r="U353" s="277"/>
      <c r="V353" s="277"/>
    </row>
    <row r="354" spans="1:22" s="278" customFormat="1">
      <c r="A354" s="252"/>
      <c r="B354" s="252"/>
      <c r="C354" s="310"/>
      <c r="D354" s="267"/>
      <c r="E354" s="250"/>
      <c r="F354" s="250"/>
      <c r="G354" s="250">
        <v>25.64</v>
      </c>
      <c r="H354" s="357">
        <v>2</v>
      </c>
      <c r="I354" s="257">
        <f t="shared" si="8"/>
        <v>51.28</v>
      </c>
      <c r="J354" s="244"/>
      <c r="K354" s="258"/>
      <c r="L354" s="258"/>
      <c r="M354" s="286"/>
      <c r="N354" s="286"/>
      <c r="O354" s="286"/>
      <c r="P354" s="287"/>
      <c r="Q354" s="277"/>
      <c r="R354" s="277"/>
      <c r="S354" s="277"/>
      <c r="T354" s="277"/>
      <c r="U354" s="277"/>
      <c r="V354" s="277"/>
    </row>
    <row r="355" spans="1:22" s="278" customFormat="1">
      <c r="A355" s="252"/>
      <c r="B355" s="252"/>
      <c r="C355" s="38"/>
      <c r="D355" s="267"/>
      <c r="E355" s="250"/>
      <c r="F355" s="250"/>
      <c r="G355" s="250">
        <v>37.94</v>
      </c>
      <c r="H355" s="357">
        <v>0.8</v>
      </c>
      <c r="I355" s="257">
        <f t="shared" si="8"/>
        <v>30.352</v>
      </c>
      <c r="J355" s="244"/>
      <c r="K355" s="258"/>
      <c r="L355" s="258"/>
      <c r="M355" s="286"/>
      <c r="N355" s="286"/>
      <c r="O355" s="286"/>
      <c r="P355" s="287"/>
      <c r="Q355" s="277"/>
      <c r="R355" s="277"/>
      <c r="S355" s="277"/>
      <c r="T355" s="277"/>
      <c r="U355" s="277"/>
      <c r="V355" s="277"/>
    </row>
    <row r="356" spans="1:22" s="278" customFormat="1">
      <c r="A356" s="252"/>
      <c r="B356" s="252"/>
      <c r="C356" s="369"/>
      <c r="D356" s="267"/>
      <c r="E356" s="250"/>
      <c r="F356" s="268"/>
      <c r="G356" s="250">
        <v>35.39</v>
      </c>
      <c r="H356" s="357">
        <v>0.8</v>
      </c>
      <c r="I356" s="257">
        <f t="shared" si="8"/>
        <v>28.312000000000001</v>
      </c>
      <c r="J356" s="244"/>
      <c r="K356" s="258"/>
      <c r="L356" s="258"/>
      <c r="M356" s="286"/>
      <c r="N356" s="286"/>
      <c r="O356" s="286"/>
      <c r="P356" s="287"/>
      <c r="Q356" s="277"/>
      <c r="R356" s="277"/>
      <c r="S356" s="277"/>
      <c r="T356" s="277"/>
      <c r="U356" s="277"/>
      <c r="V356" s="277"/>
    </row>
    <row r="357" spans="1:22" s="278" customFormat="1">
      <c r="A357" s="252"/>
      <c r="B357" s="252"/>
      <c r="C357" s="369" t="s">
        <v>418</v>
      </c>
      <c r="D357" s="267"/>
      <c r="E357" s="250">
        <v>4</v>
      </c>
      <c r="F357" s="250">
        <f>(2.82+1.61)/2</f>
        <v>2.2149999999999999</v>
      </c>
      <c r="G357" s="268">
        <f>(9+6)/2</f>
        <v>7.5</v>
      </c>
      <c r="H357" s="357">
        <v>3</v>
      </c>
      <c r="I357" s="257">
        <f t="shared" si="8"/>
        <v>199.34999999999997</v>
      </c>
      <c r="J357" s="244"/>
      <c r="K357" s="258"/>
      <c r="L357" s="258"/>
      <c r="M357" s="286"/>
      <c r="N357" s="286"/>
      <c r="O357" s="286"/>
      <c r="P357" s="287"/>
      <c r="Q357" s="277"/>
      <c r="R357" s="277"/>
      <c r="S357" s="277"/>
      <c r="T357" s="277"/>
      <c r="U357" s="277"/>
      <c r="V357" s="277"/>
    </row>
    <row r="358" spans="1:22" s="278" customFormat="1">
      <c r="A358" s="370"/>
      <c r="B358" s="370"/>
      <c r="C358" s="371"/>
      <c r="D358" s="372"/>
      <c r="E358" s="257"/>
      <c r="F358" s="262"/>
      <c r="G358" s="262"/>
      <c r="H358" s="257"/>
      <c r="I358" s="257">
        <f t="shared" si="8"/>
        <v>0</v>
      </c>
      <c r="J358" s="373"/>
      <c r="K358" s="286"/>
      <c r="L358" s="286"/>
      <c r="M358" s="286"/>
      <c r="N358" s="286"/>
      <c r="O358" s="286"/>
      <c r="P358" s="287"/>
      <c r="Q358" s="277"/>
      <c r="R358" s="277"/>
      <c r="S358" s="277"/>
      <c r="T358" s="277"/>
      <c r="U358" s="277"/>
      <c r="V358" s="277"/>
    </row>
    <row r="359" spans="1:22">
      <c r="A359" s="252"/>
      <c r="B359" s="252"/>
      <c r="C359" s="260"/>
      <c r="D359" s="39"/>
      <c r="E359" s="257"/>
      <c r="F359" s="257"/>
      <c r="G359" s="257"/>
      <c r="H359" s="358" t="s">
        <v>253</v>
      </c>
      <c r="I359" s="359">
        <f>SUM(I348:I358)</f>
        <v>530.31799999999998</v>
      </c>
      <c r="J359" s="244"/>
      <c r="K359" s="258"/>
      <c r="L359" s="258"/>
      <c r="M359" s="258"/>
      <c r="N359" s="258"/>
      <c r="O359" s="258"/>
      <c r="P359" s="259"/>
      <c r="Q359" s="247"/>
      <c r="R359" s="247"/>
      <c r="S359" s="247"/>
      <c r="T359" s="247"/>
      <c r="U359" s="247"/>
      <c r="V359" s="247"/>
    </row>
    <row r="360" spans="1:22">
      <c r="A360" s="252"/>
      <c r="B360" s="252"/>
      <c r="C360" s="38"/>
      <c r="D360" s="39"/>
      <c r="E360" s="257"/>
      <c r="F360" s="257"/>
      <c r="G360" s="257"/>
      <c r="H360" s="257"/>
      <c r="I360" s="257"/>
      <c r="J360" s="244"/>
      <c r="K360" s="258"/>
      <c r="L360" s="258"/>
      <c r="M360" s="258"/>
      <c r="N360" s="258"/>
      <c r="O360" s="258"/>
      <c r="P360" s="259"/>
      <c r="Q360" s="247"/>
      <c r="R360" s="247"/>
      <c r="S360" s="247"/>
      <c r="T360" s="247"/>
      <c r="U360" s="247"/>
      <c r="V360" s="247"/>
    </row>
    <row r="361" spans="1:22" s="278" customFormat="1" ht="33.75" customHeight="1">
      <c r="A361" s="252" t="s">
        <v>118</v>
      </c>
      <c r="B361" s="37">
        <v>88495</v>
      </c>
      <c r="C361" s="38" t="str">
        <f>VLOOKUP($B361,SINAPI!$C$6:J6270,2,0)</f>
        <v>APLICAÇÃO E LIXAMENTO DE MASSA LÁTEX EM PAREDES, UMA DEMÃO. AF_06/2014</v>
      </c>
      <c r="D361" s="39" t="str">
        <f>VLOOKUP($B361,SINAPI!$C$6:K6270,3,0)</f>
        <v>M2</v>
      </c>
      <c r="E361" s="257"/>
      <c r="F361" s="257"/>
      <c r="G361" s="257"/>
      <c r="H361" s="257"/>
      <c r="I361" s="274">
        <f>I366</f>
        <v>530.31799999999998</v>
      </c>
      <c r="J361" s="244"/>
      <c r="K361" s="245">
        <f>VLOOKUP($B361,SINAPI!$C$6:R6270,4,0)</f>
        <v>5.83</v>
      </c>
      <c r="L361" s="245"/>
      <c r="M361" s="275"/>
      <c r="N361" s="275"/>
      <c r="O361" s="275"/>
      <c r="P361" s="276">
        <f>SUM(K361:O361)</f>
        <v>5.83</v>
      </c>
      <c r="Q361" s="277"/>
      <c r="R361" s="277"/>
      <c r="S361" s="277"/>
      <c r="T361" s="277"/>
      <c r="U361" s="277"/>
      <c r="V361" s="277"/>
    </row>
    <row r="362" spans="1:22" s="278" customFormat="1">
      <c r="A362" s="252"/>
      <c r="B362" s="252"/>
      <c r="C362" s="325"/>
      <c r="D362" s="39"/>
      <c r="E362" s="257"/>
      <c r="F362" s="257"/>
      <c r="G362" s="257"/>
      <c r="H362" s="368"/>
      <c r="I362" s="257"/>
      <c r="J362" s="244"/>
      <c r="K362" s="258"/>
      <c r="L362" s="258"/>
      <c r="M362" s="286"/>
      <c r="N362" s="286"/>
      <c r="O362" s="286"/>
      <c r="P362" s="287"/>
      <c r="Q362" s="277"/>
      <c r="R362" s="277"/>
      <c r="S362" s="277"/>
      <c r="T362" s="277"/>
      <c r="U362" s="277"/>
      <c r="V362" s="277"/>
    </row>
    <row r="363" spans="1:22" s="278" customFormat="1">
      <c r="A363" s="370"/>
      <c r="B363" s="370"/>
      <c r="C363" s="371" t="s">
        <v>114</v>
      </c>
      <c r="D363" s="372"/>
      <c r="E363" s="257"/>
      <c r="F363" s="262"/>
      <c r="G363" s="262"/>
      <c r="H363" s="257">
        <f>I359</f>
        <v>530.31799999999998</v>
      </c>
      <c r="I363" s="257">
        <f>PRODUCT(E363:H363)</f>
        <v>530.31799999999998</v>
      </c>
      <c r="J363" s="373"/>
      <c r="K363" s="286"/>
      <c r="L363" s="286"/>
      <c r="M363" s="286"/>
      <c r="N363" s="286"/>
      <c r="O363" s="286"/>
      <c r="P363" s="287"/>
      <c r="Q363" s="277"/>
      <c r="R363" s="277"/>
      <c r="S363" s="277"/>
      <c r="T363" s="277"/>
      <c r="U363" s="277"/>
      <c r="V363" s="277"/>
    </row>
    <row r="364" spans="1:22" s="278" customFormat="1">
      <c r="A364" s="370"/>
      <c r="B364" s="370"/>
      <c r="C364" s="371"/>
      <c r="D364" s="267"/>
      <c r="E364" s="257"/>
      <c r="F364" s="262"/>
      <c r="G364" s="262"/>
      <c r="H364" s="257"/>
      <c r="I364" s="262">
        <f>PRODUCT(E364:H364)</f>
        <v>0</v>
      </c>
      <c r="J364" s="373"/>
      <c r="K364" s="286"/>
      <c r="L364" s="286"/>
      <c r="M364" s="286"/>
      <c r="N364" s="286"/>
      <c r="O364" s="286"/>
      <c r="P364" s="287"/>
      <c r="Q364" s="277"/>
      <c r="R364" s="277"/>
      <c r="S364" s="277"/>
      <c r="T364" s="277"/>
      <c r="U364" s="277"/>
      <c r="V364" s="277"/>
    </row>
    <row r="365" spans="1:22" s="278" customFormat="1">
      <c r="A365" s="370"/>
      <c r="B365" s="370"/>
      <c r="C365" s="371"/>
      <c r="D365" s="372"/>
      <c r="E365" s="257"/>
      <c r="F365" s="262"/>
      <c r="G365" s="262"/>
      <c r="H365" s="257"/>
      <c r="I365" s="257">
        <f>PRODUCT(E365:H365)</f>
        <v>0</v>
      </c>
      <c r="J365" s="373"/>
      <c r="K365" s="286"/>
      <c r="L365" s="286"/>
      <c r="M365" s="286"/>
      <c r="N365" s="286"/>
      <c r="O365" s="286"/>
      <c r="P365" s="287"/>
      <c r="Q365" s="277"/>
      <c r="R365" s="277"/>
      <c r="S365" s="277"/>
      <c r="T365" s="277"/>
      <c r="U365" s="277"/>
      <c r="V365" s="277"/>
    </row>
    <row r="366" spans="1:22">
      <c r="A366" s="252"/>
      <c r="B366" s="252"/>
      <c r="C366" s="260"/>
      <c r="D366" s="39"/>
      <c r="E366" s="257"/>
      <c r="F366" s="257"/>
      <c r="G366" s="257"/>
      <c r="H366" s="358" t="s">
        <v>253</v>
      </c>
      <c r="I366" s="359">
        <f>SUM(I363:I365)</f>
        <v>530.31799999999998</v>
      </c>
      <c r="J366" s="244"/>
      <c r="K366" s="258"/>
      <c r="L366" s="258"/>
      <c r="M366" s="258"/>
      <c r="N366" s="258"/>
      <c r="O366" s="258"/>
      <c r="P366" s="259"/>
      <c r="Q366" s="247"/>
      <c r="R366" s="247"/>
      <c r="S366" s="247"/>
      <c r="T366" s="247"/>
      <c r="U366" s="247"/>
      <c r="V366" s="247"/>
    </row>
    <row r="367" spans="1:22">
      <c r="A367" s="252"/>
      <c r="B367" s="252"/>
      <c r="C367" s="38"/>
      <c r="D367" s="39"/>
      <c r="E367" s="257"/>
      <c r="F367" s="257"/>
      <c r="G367" s="257"/>
      <c r="H367" s="336"/>
      <c r="I367" s="336"/>
      <c r="J367" s="244"/>
      <c r="K367" s="258"/>
      <c r="L367" s="258"/>
      <c r="M367" s="258"/>
      <c r="N367" s="258"/>
      <c r="O367" s="258"/>
      <c r="P367" s="259"/>
      <c r="Q367" s="247"/>
      <c r="R367" s="247"/>
      <c r="S367" s="247"/>
      <c r="T367" s="247"/>
      <c r="U367" s="247"/>
      <c r="V367" s="247"/>
    </row>
    <row r="368" spans="1:22" s="278" customFormat="1" ht="43.5" customHeight="1">
      <c r="A368" s="252" t="s">
        <v>120</v>
      </c>
      <c r="B368" s="37">
        <v>88489</v>
      </c>
      <c r="C368" s="38" t="str">
        <f>VLOOKUP($B368,SINAPI!$C$6:J6268,2,0)</f>
        <v>APLICAÇÃO MANUAL DE PINTURA COM TINTA LÁTEX ACRÍLICA EM PAREDES, DUAS DEMÃOS. AF_06/2014</v>
      </c>
      <c r="D368" s="39" t="str">
        <f>VLOOKUP($B368,SINAPI!$C$6:K6268,3,0)</f>
        <v>M2</v>
      </c>
      <c r="E368" s="257"/>
      <c r="F368" s="257"/>
      <c r="G368" s="257"/>
      <c r="H368" s="257"/>
      <c r="I368" s="274">
        <f>I372</f>
        <v>530.31799999999998</v>
      </c>
      <c r="J368" s="244"/>
      <c r="K368" s="245">
        <f>VLOOKUP($B368,SINAPI!$C$6:R6268,4,0)</f>
        <v>8.35</v>
      </c>
      <c r="L368" s="245"/>
      <c r="M368" s="275"/>
      <c r="N368" s="275"/>
      <c r="O368" s="275"/>
      <c r="P368" s="276">
        <f>SUM(K368:O368)</f>
        <v>8.35</v>
      </c>
      <c r="Q368" s="277"/>
      <c r="R368" s="277"/>
      <c r="S368" s="277"/>
      <c r="T368" s="277"/>
      <c r="U368" s="277"/>
      <c r="V368" s="277"/>
    </row>
    <row r="369" spans="1:22" s="278" customFormat="1" ht="18" customHeight="1">
      <c r="A369" s="252"/>
      <c r="B369" s="252"/>
      <c r="C369" s="38"/>
      <c r="D369" s="39"/>
      <c r="E369" s="257"/>
      <c r="F369" s="257"/>
      <c r="G369" s="257"/>
      <c r="H369" s="262"/>
      <c r="I369" s="342"/>
      <c r="J369" s="244"/>
      <c r="K369" s="258"/>
      <c r="L369" s="258"/>
      <c r="M369" s="286"/>
      <c r="N369" s="286"/>
      <c r="O369" s="286"/>
      <c r="P369" s="287"/>
      <c r="Q369" s="277"/>
      <c r="R369" s="277"/>
      <c r="S369" s="277"/>
      <c r="T369" s="277"/>
      <c r="U369" s="277"/>
      <c r="V369" s="277"/>
    </row>
    <row r="370" spans="1:22" s="278" customFormat="1">
      <c r="A370" s="252"/>
      <c r="B370" s="39"/>
      <c r="C370" s="371" t="s">
        <v>114</v>
      </c>
      <c r="D370" s="254"/>
      <c r="E370" s="374"/>
      <c r="F370" s="257"/>
      <c r="G370" s="257"/>
      <c r="H370" s="257">
        <f>I366</f>
        <v>530.31799999999998</v>
      </c>
      <c r="I370" s="262">
        <f>PRODUCT(E370:H370)</f>
        <v>530.31799999999998</v>
      </c>
      <c r="J370" s="244"/>
      <c r="K370" s="258"/>
      <c r="L370" s="258"/>
      <c r="M370" s="286"/>
      <c r="N370" s="286"/>
      <c r="O370" s="286"/>
      <c r="P370" s="287"/>
      <c r="Q370" s="277"/>
      <c r="R370" s="277"/>
      <c r="S370" s="277"/>
      <c r="T370" s="277"/>
      <c r="U370" s="277"/>
      <c r="V370" s="277"/>
    </row>
    <row r="371" spans="1:22" s="278" customFormat="1">
      <c r="A371" s="252"/>
      <c r="B371" s="39"/>
      <c r="C371" s="38"/>
      <c r="D371" s="254"/>
      <c r="E371" s="257"/>
      <c r="F371" s="257"/>
      <c r="G371" s="257"/>
      <c r="H371" s="257"/>
      <c r="I371" s="262">
        <f>PRODUCT(E371:H371)</f>
        <v>0</v>
      </c>
      <c r="J371" s="244"/>
      <c r="K371" s="258"/>
      <c r="L371" s="258"/>
      <c r="M371" s="286"/>
      <c r="N371" s="286"/>
      <c r="O371" s="286"/>
      <c r="P371" s="287"/>
      <c r="Q371" s="277"/>
      <c r="R371" s="277"/>
      <c r="S371" s="277"/>
      <c r="T371" s="277"/>
      <c r="U371" s="277"/>
      <c r="V371" s="277"/>
    </row>
    <row r="372" spans="1:22">
      <c r="A372" s="252"/>
      <c r="B372" s="252"/>
      <c r="C372" s="260"/>
      <c r="D372" s="39"/>
      <c r="E372" s="257"/>
      <c r="F372" s="257"/>
      <c r="G372" s="257"/>
      <c r="H372" s="358" t="s">
        <v>253</v>
      </c>
      <c r="I372" s="359">
        <f>SUM(I370:I371)</f>
        <v>530.31799999999998</v>
      </c>
      <c r="J372" s="244"/>
      <c r="K372" s="258"/>
      <c r="L372" s="258"/>
      <c r="M372" s="258"/>
      <c r="N372" s="258"/>
      <c r="O372" s="258"/>
      <c r="P372" s="259"/>
      <c r="Q372" s="247"/>
      <c r="R372" s="247"/>
      <c r="S372" s="247"/>
      <c r="T372" s="247"/>
      <c r="U372" s="247"/>
      <c r="V372" s="247"/>
    </row>
    <row r="373" spans="1:22">
      <c r="A373" s="252"/>
      <c r="B373" s="252"/>
      <c r="C373" s="260"/>
      <c r="D373" s="39"/>
      <c r="E373" s="257"/>
      <c r="F373" s="257"/>
      <c r="G373" s="257"/>
      <c r="H373" s="336"/>
      <c r="I373" s="336"/>
      <c r="J373" s="244"/>
      <c r="K373" s="258"/>
      <c r="L373" s="258"/>
      <c r="M373" s="258"/>
      <c r="N373" s="258"/>
      <c r="O373" s="258"/>
      <c r="P373" s="259"/>
      <c r="Q373" s="247"/>
      <c r="R373" s="247"/>
      <c r="S373" s="247"/>
      <c r="T373" s="247"/>
      <c r="U373" s="247"/>
      <c r="V373" s="247"/>
    </row>
    <row r="374" spans="1:22" s="278" customFormat="1" ht="25.5">
      <c r="A374" s="252" t="s">
        <v>122</v>
      </c>
      <c r="B374" s="37">
        <v>84677</v>
      </c>
      <c r="C374" s="38" t="str">
        <f>VLOOKUP($B374,SINAPI!$C$6:J6281,2,0)</f>
        <v>VERNIZ SINTETICO BRILHANTE EM CONCRETO OU TIJOLO, DUAS DEMAOS</v>
      </c>
      <c r="D374" s="39" t="str">
        <f>VLOOKUP($B374,SINAPI!$C$6:K6281,3,0)</f>
        <v>M2</v>
      </c>
      <c r="E374" s="257"/>
      <c r="F374" s="257"/>
      <c r="G374" s="257"/>
      <c r="H374" s="257"/>
      <c r="I374" s="274">
        <f>I378</f>
        <v>566.93999999999994</v>
      </c>
      <c r="J374" s="244"/>
      <c r="K374" s="245">
        <f>VLOOKUP($B374,SINAPI!$C$6:R6281,4,0)</f>
        <v>7.24</v>
      </c>
      <c r="L374" s="245"/>
      <c r="M374" s="275"/>
      <c r="N374" s="275"/>
      <c r="O374" s="275"/>
      <c r="P374" s="276">
        <f>SUM(K374:O374)</f>
        <v>7.24</v>
      </c>
      <c r="Q374" s="277"/>
      <c r="R374" s="277"/>
      <c r="S374" s="277"/>
      <c r="T374" s="277"/>
      <c r="U374" s="277"/>
      <c r="V374" s="277"/>
    </row>
    <row r="375" spans="1:22" s="278" customFormat="1" ht="18" customHeight="1">
      <c r="A375" s="252"/>
      <c r="B375" s="252"/>
      <c r="C375" s="38" t="s">
        <v>419</v>
      </c>
      <c r="D375" s="39"/>
      <c r="E375" s="257"/>
      <c r="F375" s="257"/>
      <c r="G375" s="257"/>
      <c r="H375" s="262">
        <v>530.31799999999998</v>
      </c>
      <c r="I375" s="262">
        <f>PRODUCT(E375:H375)</f>
        <v>530.31799999999998</v>
      </c>
      <c r="J375" s="244"/>
      <c r="K375" s="258"/>
      <c r="L375" s="258"/>
      <c r="M375" s="286"/>
      <c r="N375" s="286"/>
      <c r="O375" s="286"/>
      <c r="P375" s="287"/>
      <c r="Q375" s="277"/>
      <c r="R375" s="277"/>
      <c r="S375" s="277"/>
      <c r="T375" s="277"/>
      <c r="U375" s="277"/>
      <c r="V375" s="277"/>
    </row>
    <row r="376" spans="1:22" s="278" customFormat="1">
      <c r="A376" s="252"/>
      <c r="B376" s="39"/>
      <c r="C376" s="371" t="s">
        <v>420</v>
      </c>
      <c r="D376" s="254"/>
      <c r="E376" s="374"/>
      <c r="F376" s="257"/>
      <c r="G376" s="257"/>
      <c r="H376" s="257">
        <v>36.622</v>
      </c>
      <c r="I376" s="262">
        <f>PRODUCT(E376:H376)</f>
        <v>36.622</v>
      </c>
      <c r="J376" s="244"/>
      <c r="K376" s="258"/>
      <c r="L376" s="258"/>
      <c r="M376" s="286"/>
      <c r="N376" s="286"/>
      <c r="O376" s="286"/>
      <c r="P376" s="287"/>
      <c r="Q376" s="277"/>
      <c r="R376" s="277"/>
      <c r="S376" s="277"/>
      <c r="T376" s="277"/>
      <c r="U376" s="277"/>
      <c r="V376" s="277"/>
    </row>
    <row r="377" spans="1:22" s="278" customFormat="1">
      <c r="A377" s="252"/>
      <c r="B377" s="39"/>
      <c r="C377" s="38"/>
      <c r="D377" s="254"/>
      <c r="E377" s="257"/>
      <c r="F377" s="257"/>
      <c r="G377" s="257"/>
      <c r="H377" s="257"/>
      <c r="I377" s="262">
        <f>PRODUCT(E377:H377)</f>
        <v>0</v>
      </c>
      <c r="J377" s="244"/>
      <c r="K377" s="258"/>
      <c r="L377" s="258"/>
      <c r="M377" s="286"/>
      <c r="N377" s="286"/>
      <c r="O377" s="286"/>
      <c r="P377" s="287"/>
      <c r="Q377" s="277"/>
      <c r="R377" s="277"/>
      <c r="S377" s="277"/>
      <c r="T377" s="277"/>
      <c r="U377" s="277"/>
      <c r="V377" s="277"/>
    </row>
    <row r="378" spans="1:22">
      <c r="A378" s="252"/>
      <c r="B378" s="252"/>
      <c r="C378" s="260"/>
      <c r="D378" s="39"/>
      <c r="E378" s="257"/>
      <c r="F378" s="257"/>
      <c r="G378" s="257"/>
      <c r="H378" s="358" t="s">
        <v>253</v>
      </c>
      <c r="I378" s="359">
        <f>SUM(I375:I377)</f>
        <v>566.93999999999994</v>
      </c>
      <c r="J378" s="244"/>
      <c r="K378" s="258"/>
      <c r="L378" s="258"/>
      <c r="M378" s="258"/>
      <c r="N378" s="258"/>
      <c r="O378" s="258"/>
      <c r="P378" s="259"/>
      <c r="Q378" s="247"/>
      <c r="R378" s="247"/>
      <c r="S378" s="247"/>
      <c r="T378" s="247"/>
      <c r="U378" s="247"/>
      <c r="V378" s="247"/>
    </row>
    <row r="379" spans="1:22">
      <c r="A379" s="252"/>
      <c r="B379" s="39"/>
      <c r="C379" s="253"/>
      <c r="D379" s="253"/>
      <c r="E379" s="257"/>
      <c r="F379" s="257"/>
      <c r="G379" s="257"/>
      <c r="H379" s="257"/>
      <c r="I379" s="257"/>
      <c r="J379" s="244"/>
      <c r="K379" s="258"/>
      <c r="L379" s="258"/>
      <c r="M379" s="258"/>
      <c r="N379" s="258"/>
      <c r="O379" s="258"/>
      <c r="P379" s="259"/>
      <c r="Q379" s="247"/>
      <c r="R379" s="247"/>
      <c r="S379" s="247"/>
      <c r="T379" s="247"/>
      <c r="U379" s="247"/>
      <c r="V379" s="247"/>
    </row>
    <row r="380" spans="1:22" s="375" customFormat="1" ht="25.5">
      <c r="A380" s="248" t="s">
        <v>127</v>
      </c>
      <c r="B380" s="248"/>
      <c r="C380" s="249" t="s">
        <v>302</v>
      </c>
      <c r="D380" s="254"/>
      <c r="E380" s="257"/>
      <c r="F380" s="257"/>
      <c r="G380" s="257"/>
      <c r="H380" s="257"/>
      <c r="I380" s="257"/>
      <c r="J380" s="244"/>
      <c r="K380" s="258"/>
      <c r="L380" s="258"/>
      <c r="M380" s="258"/>
      <c r="N380" s="258"/>
      <c r="O380" s="258"/>
      <c r="P380" s="259"/>
      <c r="Q380" s="103"/>
      <c r="R380" s="103"/>
      <c r="S380" s="103"/>
      <c r="T380" s="103"/>
      <c r="U380" s="103"/>
      <c r="V380" s="103"/>
    </row>
    <row r="381" spans="1:22" s="278" customFormat="1">
      <c r="A381" s="376" t="s">
        <v>129</v>
      </c>
      <c r="B381" s="376"/>
      <c r="C381" s="340" t="s">
        <v>130</v>
      </c>
      <c r="D381" s="39"/>
      <c r="E381" s="257"/>
      <c r="F381" s="257"/>
      <c r="G381" s="257"/>
      <c r="H381" s="257"/>
      <c r="I381" s="257"/>
      <c r="J381" s="244"/>
      <c r="K381" s="258"/>
      <c r="L381" s="258"/>
      <c r="M381" s="286"/>
      <c r="N381" s="286"/>
      <c r="O381" s="286"/>
      <c r="P381" s="287"/>
      <c r="Q381" s="277"/>
      <c r="R381" s="277"/>
      <c r="S381" s="277"/>
      <c r="T381" s="277"/>
      <c r="U381" s="277"/>
      <c r="V381" s="277"/>
    </row>
    <row r="382" spans="1:22" s="278" customFormat="1" ht="25.5">
      <c r="A382" s="252" t="s">
        <v>131</v>
      </c>
      <c r="B382" s="37" t="s">
        <v>132</v>
      </c>
      <c r="C382" s="38" t="str">
        <f>VLOOKUP($B382,SINAPI!$C$6:J6538,2,0)</f>
        <v>CAIXA PARA MEDICAO MONOFASICA PARA USO EXTERNO</v>
      </c>
      <c r="D382" s="39" t="str">
        <f>VLOOKUP($B382,SINAPI!$C$6:K6538,3,0)</f>
        <v>UN</v>
      </c>
      <c r="E382" s="257"/>
      <c r="F382" s="257"/>
      <c r="G382" s="257"/>
      <c r="H382" s="257"/>
      <c r="I382" s="250">
        <f>I388</f>
        <v>5</v>
      </c>
      <c r="J382" s="244"/>
      <c r="K382" s="245">
        <f>VLOOKUP($B382,SINAPI!$C$6:R6538,4,0)</f>
        <v>402.53</v>
      </c>
      <c r="L382" s="245"/>
      <c r="M382" s="275"/>
      <c r="N382" s="275"/>
      <c r="O382" s="275"/>
      <c r="P382" s="276">
        <f>SUM(K382:O382)</f>
        <v>402.53</v>
      </c>
      <c r="Q382" s="277"/>
      <c r="R382" s="277"/>
      <c r="S382" s="277"/>
      <c r="T382" s="277"/>
      <c r="U382" s="277"/>
      <c r="V382" s="277"/>
    </row>
    <row r="383" spans="1:22" s="278" customFormat="1">
      <c r="A383" s="252"/>
      <c r="B383" s="37"/>
      <c r="C383" s="253"/>
      <c r="D383" s="350"/>
      <c r="E383" s="268"/>
      <c r="F383" s="268"/>
      <c r="G383" s="268"/>
      <c r="H383" s="377"/>
      <c r="I383" s="378"/>
      <c r="J383" s="244"/>
      <c r="K383" s="258"/>
      <c r="L383" s="258"/>
      <c r="M383" s="258"/>
      <c r="N383" s="258"/>
      <c r="O383" s="258"/>
      <c r="P383" s="259"/>
      <c r="Q383" s="277"/>
      <c r="R383" s="277"/>
      <c r="S383" s="277"/>
      <c r="T383" s="277"/>
      <c r="U383" s="277"/>
      <c r="V383" s="277"/>
    </row>
    <row r="384" spans="1:22" s="278" customFormat="1">
      <c r="A384" s="252"/>
      <c r="B384" s="37"/>
      <c r="C384" s="253" t="s">
        <v>421</v>
      </c>
      <c r="D384" s="350"/>
      <c r="E384" s="268"/>
      <c r="F384" s="268"/>
      <c r="G384" s="268"/>
      <c r="H384" s="379">
        <v>1</v>
      </c>
      <c r="I384" s="257">
        <f>PRODUCT(E384:H384)</f>
        <v>1</v>
      </c>
      <c r="J384" s="244"/>
      <c r="K384" s="258"/>
      <c r="L384" s="258"/>
      <c r="M384" s="286"/>
      <c r="N384" s="286"/>
      <c r="O384" s="286"/>
      <c r="P384" s="287"/>
      <c r="Q384" s="277"/>
      <c r="R384" s="277"/>
      <c r="S384" s="277"/>
      <c r="T384" s="277"/>
      <c r="U384" s="277"/>
      <c r="V384" s="277"/>
    </row>
    <row r="385" spans="1:22" s="278" customFormat="1">
      <c r="A385" s="252"/>
      <c r="B385" s="37"/>
      <c r="C385" s="253" t="s">
        <v>422</v>
      </c>
      <c r="D385" s="350"/>
      <c r="E385" s="268"/>
      <c r="F385" s="268"/>
      <c r="G385" s="268"/>
      <c r="H385" s="379">
        <v>1</v>
      </c>
      <c r="I385" s="257">
        <f>PRODUCT(E385:H385)</f>
        <v>1</v>
      </c>
      <c r="J385" s="244"/>
      <c r="K385" s="258"/>
      <c r="L385" s="258"/>
      <c r="M385" s="286"/>
      <c r="N385" s="286"/>
      <c r="O385" s="286"/>
      <c r="P385" s="287"/>
      <c r="Q385" s="277"/>
      <c r="R385" s="277"/>
      <c r="S385" s="277"/>
      <c r="T385" s="277"/>
      <c r="U385" s="277"/>
      <c r="V385" s="277"/>
    </row>
    <row r="386" spans="1:22" s="278" customFormat="1">
      <c r="A386" s="252"/>
      <c r="B386" s="37"/>
      <c r="C386" s="253" t="s">
        <v>423</v>
      </c>
      <c r="D386" s="350"/>
      <c r="E386" s="268"/>
      <c r="F386" s="268"/>
      <c r="G386" s="268"/>
      <c r="H386" s="379">
        <v>3</v>
      </c>
      <c r="I386" s="257">
        <f>PRODUCT(E386:H386)</f>
        <v>3</v>
      </c>
      <c r="J386" s="244"/>
      <c r="K386" s="258"/>
      <c r="L386" s="258"/>
      <c r="M386" s="286"/>
      <c r="N386" s="286"/>
      <c r="O386" s="286"/>
      <c r="P386" s="287"/>
      <c r="Q386" s="277"/>
      <c r="R386" s="277"/>
      <c r="S386" s="277"/>
      <c r="T386" s="277"/>
      <c r="U386" s="277"/>
      <c r="V386" s="277"/>
    </row>
    <row r="387" spans="1:22" s="278" customFormat="1">
      <c r="A387" s="252"/>
      <c r="B387" s="37"/>
      <c r="C387" s="253"/>
      <c r="D387" s="350"/>
      <c r="E387" s="268"/>
      <c r="F387" s="268"/>
      <c r="G387" s="268"/>
      <c r="H387" s="379"/>
      <c r="I387" s="257">
        <f>H387</f>
        <v>0</v>
      </c>
      <c r="J387" s="244"/>
      <c r="K387" s="258"/>
      <c r="L387" s="258"/>
      <c r="M387" s="286"/>
      <c r="N387" s="286"/>
      <c r="O387" s="286"/>
      <c r="P387" s="287"/>
      <c r="Q387" s="277"/>
      <c r="R387" s="277"/>
      <c r="S387" s="277"/>
      <c r="T387" s="277"/>
      <c r="U387" s="277"/>
      <c r="V387" s="277"/>
    </row>
    <row r="388" spans="1:22" s="278" customFormat="1">
      <c r="A388" s="252"/>
      <c r="B388" s="37"/>
      <c r="C388" s="38"/>
      <c r="D388" s="39"/>
      <c r="E388" s="257"/>
      <c r="F388" s="257"/>
      <c r="G388" s="257"/>
      <c r="H388" s="263" t="s">
        <v>253</v>
      </c>
      <c r="I388" s="380">
        <f>SUM(I384:I387)</f>
        <v>5</v>
      </c>
      <c r="J388" s="244"/>
      <c r="K388" s="258"/>
      <c r="L388" s="258"/>
      <c r="M388" s="286"/>
      <c r="N388" s="286"/>
      <c r="O388" s="286"/>
      <c r="P388" s="287"/>
      <c r="Q388" s="277"/>
      <c r="R388" s="277"/>
      <c r="S388" s="277"/>
      <c r="T388" s="277"/>
      <c r="U388" s="277"/>
      <c r="V388" s="277"/>
    </row>
    <row r="389" spans="1:22" s="278" customFormat="1">
      <c r="A389" s="252"/>
      <c r="B389" s="37"/>
      <c r="C389" s="369"/>
      <c r="D389" s="307"/>
      <c r="E389" s="257"/>
      <c r="F389" s="257"/>
      <c r="G389" s="257"/>
      <c r="H389" s="257"/>
      <c r="I389" s="257"/>
      <c r="J389" s="244"/>
      <c r="K389" s="258"/>
      <c r="L389" s="258"/>
      <c r="M389" s="286"/>
      <c r="N389" s="286"/>
      <c r="O389" s="286"/>
      <c r="P389" s="287"/>
      <c r="Q389" s="277"/>
      <c r="R389" s="277"/>
      <c r="S389" s="277"/>
      <c r="T389" s="277"/>
      <c r="U389" s="277"/>
      <c r="V389" s="277"/>
    </row>
    <row r="390" spans="1:22" s="278" customFormat="1" ht="25.5">
      <c r="A390" s="252" t="s">
        <v>133</v>
      </c>
      <c r="B390" s="37">
        <v>83446</v>
      </c>
      <c r="C390" s="38" t="str">
        <f>VLOOKUP($B390,SINAPI!$C$6:J6545,2,0)</f>
        <v>CAIXA DE PASSAGEM 30X30X40 COM TAMPA E DRENO BRITA</v>
      </c>
      <c r="D390" s="39" t="str">
        <f>VLOOKUP($B390,SINAPI!$C$6:K6545,3,0)</f>
        <v>UN</v>
      </c>
      <c r="E390" s="257"/>
      <c r="F390" s="257"/>
      <c r="G390" s="257"/>
      <c r="H390" s="257"/>
      <c r="I390" s="250">
        <f>I396</f>
        <v>11</v>
      </c>
      <c r="J390" s="244"/>
      <c r="K390" s="245">
        <f>VLOOKUP($B390,SINAPI!$C$6:R6545,4,0)</f>
        <v>113.09</v>
      </c>
      <c r="L390" s="245"/>
      <c r="M390" s="275"/>
      <c r="N390" s="275"/>
      <c r="O390" s="275"/>
      <c r="P390" s="276">
        <f>SUM(K390:O390)</f>
        <v>113.09</v>
      </c>
      <c r="Q390" s="277"/>
      <c r="R390" s="277"/>
      <c r="S390" s="277"/>
      <c r="T390" s="277"/>
      <c r="U390" s="277"/>
      <c r="V390" s="277"/>
    </row>
    <row r="391" spans="1:22" s="278" customFormat="1">
      <c r="A391" s="252"/>
      <c r="B391" s="37"/>
      <c r="C391" s="253"/>
      <c r="D391" s="350"/>
      <c r="E391" s="268"/>
      <c r="F391" s="268"/>
      <c r="G391" s="268"/>
      <c r="H391" s="377"/>
      <c r="I391" s="378"/>
      <c r="J391" s="244"/>
      <c r="K391" s="258"/>
      <c r="L391" s="258"/>
      <c r="M391" s="258"/>
      <c r="N391" s="258"/>
      <c r="O391" s="258"/>
      <c r="P391" s="259"/>
      <c r="Q391" s="277"/>
      <c r="R391" s="277"/>
      <c r="S391" s="277"/>
      <c r="T391" s="277"/>
      <c r="U391" s="277"/>
      <c r="V391" s="277"/>
    </row>
    <row r="392" spans="1:22" s="278" customFormat="1">
      <c r="A392" s="252"/>
      <c r="B392" s="37"/>
      <c r="C392" s="253" t="s">
        <v>421</v>
      </c>
      <c r="D392" s="350"/>
      <c r="E392" s="268"/>
      <c r="F392" s="268"/>
      <c r="G392" s="268"/>
      <c r="H392" s="379">
        <v>4</v>
      </c>
      <c r="I392" s="257">
        <f>PRODUCT(E392:H392)</f>
        <v>4</v>
      </c>
      <c r="J392" s="244"/>
      <c r="K392" s="258"/>
      <c r="L392" s="258"/>
      <c r="M392" s="286"/>
      <c r="N392" s="286"/>
      <c r="O392" s="286"/>
      <c r="P392" s="287"/>
      <c r="Q392" s="277"/>
      <c r="R392" s="277"/>
      <c r="S392" s="277"/>
      <c r="T392" s="277"/>
      <c r="U392" s="277"/>
      <c r="V392" s="277"/>
    </row>
    <row r="393" spans="1:22" s="278" customFormat="1">
      <c r="A393" s="252"/>
      <c r="B393" s="37"/>
      <c r="C393" s="253" t="s">
        <v>422</v>
      </c>
      <c r="D393" s="350"/>
      <c r="E393" s="268"/>
      <c r="F393" s="268"/>
      <c r="G393" s="268"/>
      <c r="H393" s="379">
        <v>4</v>
      </c>
      <c r="I393" s="257">
        <f>PRODUCT(E393:H393)</f>
        <v>4</v>
      </c>
      <c r="J393" s="244"/>
      <c r="K393" s="258"/>
      <c r="L393" s="258"/>
      <c r="M393" s="286"/>
      <c r="N393" s="286"/>
      <c r="O393" s="286"/>
      <c r="P393" s="287"/>
      <c r="Q393" s="277"/>
      <c r="R393" s="277"/>
      <c r="S393" s="277"/>
      <c r="T393" s="277"/>
      <c r="U393" s="277"/>
      <c r="V393" s="277"/>
    </row>
    <row r="394" spans="1:22" s="278" customFormat="1">
      <c r="A394" s="252"/>
      <c r="B394" s="37"/>
      <c r="C394" s="253" t="s">
        <v>423</v>
      </c>
      <c r="D394" s="350"/>
      <c r="E394" s="268"/>
      <c r="F394" s="268"/>
      <c r="G394" s="268">
        <v>3</v>
      </c>
      <c r="H394" s="379">
        <v>1</v>
      </c>
      <c r="I394" s="257">
        <f>PRODUCT(E394:H394)</f>
        <v>3</v>
      </c>
      <c r="J394" s="244"/>
      <c r="K394" s="258"/>
      <c r="L394" s="258"/>
      <c r="M394" s="286"/>
      <c r="N394" s="286"/>
      <c r="O394" s="286"/>
      <c r="P394" s="287"/>
      <c r="Q394" s="277"/>
      <c r="R394" s="277"/>
      <c r="S394" s="277"/>
      <c r="T394" s="277"/>
      <c r="U394" s="277"/>
      <c r="V394" s="277"/>
    </row>
    <row r="395" spans="1:22" s="278" customFormat="1">
      <c r="A395" s="252"/>
      <c r="B395" s="37"/>
      <c r="C395" s="253"/>
      <c r="D395" s="350"/>
      <c r="E395" s="268"/>
      <c r="F395" s="268"/>
      <c r="G395" s="268"/>
      <c r="H395" s="379"/>
      <c r="I395" s="257">
        <f>H395</f>
        <v>0</v>
      </c>
      <c r="J395" s="244"/>
      <c r="K395" s="258"/>
      <c r="L395" s="258"/>
      <c r="M395" s="286"/>
      <c r="N395" s="286"/>
      <c r="O395" s="286"/>
      <c r="P395" s="287"/>
      <c r="Q395" s="277"/>
      <c r="R395" s="277"/>
      <c r="S395" s="277"/>
      <c r="T395" s="277"/>
      <c r="U395" s="277"/>
      <c r="V395" s="277"/>
    </row>
    <row r="396" spans="1:22" s="278" customFormat="1">
      <c r="A396" s="252"/>
      <c r="B396" s="37"/>
      <c r="C396" s="38"/>
      <c r="D396" s="39"/>
      <c r="E396" s="257"/>
      <c r="F396" s="257"/>
      <c r="G396" s="257"/>
      <c r="H396" s="263" t="s">
        <v>253</v>
      </c>
      <c r="I396" s="380">
        <f>SUM(I392:I395)</f>
        <v>11</v>
      </c>
      <c r="J396" s="244"/>
      <c r="K396" s="258"/>
      <c r="L396" s="258"/>
      <c r="M396" s="286"/>
      <c r="N396" s="286"/>
      <c r="O396" s="286"/>
      <c r="P396" s="287"/>
      <c r="Q396" s="277"/>
      <c r="R396" s="277"/>
      <c r="S396" s="277"/>
      <c r="T396" s="277"/>
      <c r="U396" s="277"/>
      <c r="V396" s="277"/>
    </row>
    <row r="397" spans="1:22" s="278" customFormat="1">
      <c r="A397" s="252"/>
      <c r="B397" s="37"/>
      <c r="C397" s="369"/>
      <c r="D397" s="307"/>
      <c r="E397" s="257"/>
      <c r="F397" s="257"/>
      <c r="G397" s="257"/>
      <c r="H397" s="257"/>
      <c r="I397" s="257"/>
      <c r="J397" s="244"/>
      <c r="K397" s="258"/>
      <c r="L397" s="258"/>
      <c r="M397" s="286"/>
      <c r="N397" s="286"/>
      <c r="O397" s="286"/>
      <c r="P397" s="287"/>
      <c r="Q397" s="277"/>
      <c r="R397" s="277"/>
      <c r="S397" s="277"/>
      <c r="T397" s="277"/>
      <c r="U397" s="277"/>
      <c r="V397" s="277"/>
    </row>
    <row r="398" spans="1:22" s="278" customFormat="1" ht="26.25" customHeight="1">
      <c r="A398" s="252" t="s">
        <v>135</v>
      </c>
      <c r="B398" s="37" t="s">
        <v>136</v>
      </c>
      <c r="C398" s="38" t="str">
        <f>VLOOKUP($B398,SINAPI!$C$6:J6554,2,0)</f>
        <v>CAIXA DE PASSAGEM 40X40X80 FUNDO BRITA C/ TAMPA</v>
      </c>
      <c r="D398" s="39" t="str">
        <f>VLOOKUP($B398,SINAPI!$C$6:K6554,3,0)</f>
        <v>UN</v>
      </c>
      <c r="E398" s="257"/>
      <c r="F398" s="257"/>
      <c r="G398" s="257"/>
      <c r="H398" s="257"/>
      <c r="I398" s="250">
        <f>I404</f>
        <v>5</v>
      </c>
      <c r="J398" s="244"/>
      <c r="K398" s="245">
        <f>VLOOKUP($B398,SINAPI!$C$6:R6554,4,0)</f>
        <v>182.75790599999999</v>
      </c>
      <c r="L398" s="245"/>
      <c r="M398" s="275"/>
      <c r="N398" s="275"/>
      <c r="O398" s="275"/>
      <c r="P398" s="276">
        <f>SUM(K398:O398)</f>
        <v>182.75790599999999</v>
      </c>
      <c r="Q398" s="277"/>
      <c r="R398" s="277"/>
      <c r="S398" s="277"/>
      <c r="T398" s="277"/>
      <c r="U398" s="277"/>
      <c r="V398" s="277"/>
    </row>
    <row r="399" spans="1:22" s="278" customFormat="1">
      <c r="A399" s="252"/>
      <c r="B399" s="37"/>
      <c r="C399" s="253"/>
      <c r="D399" s="350"/>
      <c r="E399" s="268"/>
      <c r="F399" s="268"/>
      <c r="G399" s="268"/>
      <c r="H399" s="377"/>
      <c r="I399" s="378"/>
      <c r="J399" s="244"/>
      <c r="K399" s="258"/>
      <c r="L399" s="258"/>
      <c r="M399" s="258"/>
      <c r="N399" s="258"/>
      <c r="O399" s="258"/>
      <c r="P399" s="259"/>
      <c r="Q399" s="277"/>
      <c r="R399" s="277"/>
      <c r="S399" s="277"/>
      <c r="T399" s="277"/>
      <c r="U399" s="277"/>
      <c r="V399" s="277"/>
    </row>
    <row r="400" spans="1:22" s="278" customFormat="1">
      <c r="A400" s="252"/>
      <c r="B400" s="37"/>
      <c r="C400" s="253" t="s">
        <v>421</v>
      </c>
      <c r="D400" s="350"/>
      <c r="E400" s="268"/>
      <c r="F400" s="268"/>
      <c r="G400" s="268"/>
      <c r="H400" s="379">
        <v>1</v>
      </c>
      <c r="I400" s="257">
        <f>PRODUCT(E400:H400)</f>
        <v>1</v>
      </c>
      <c r="J400" s="244"/>
      <c r="K400" s="258"/>
      <c r="L400" s="258"/>
      <c r="M400" s="286"/>
      <c r="N400" s="286"/>
      <c r="O400" s="286"/>
      <c r="P400" s="287"/>
      <c r="Q400" s="277"/>
      <c r="R400" s="277"/>
      <c r="S400" s="277"/>
      <c r="T400" s="277"/>
      <c r="U400" s="277"/>
      <c r="V400" s="277"/>
    </row>
    <row r="401" spans="1:22" s="278" customFormat="1">
      <c r="A401" s="252"/>
      <c r="B401" s="37"/>
      <c r="C401" s="253" t="s">
        <v>422</v>
      </c>
      <c r="D401" s="350"/>
      <c r="E401" s="268"/>
      <c r="F401" s="268"/>
      <c r="G401" s="268"/>
      <c r="H401" s="379">
        <v>1</v>
      </c>
      <c r="I401" s="257">
        <f>PRODUCT(E401:H401)</f>
        <v>1</v>
      </c>
      <c r="J401" s="244"/>
      <c r="K401" s="258"/>
      <c r="L401" s="258"/>
      <c r="M401" s="286"/>
      <c r="N401" s="286"/>
      <c r="O401" s="286"/>
      <c r="P401" s="287"/>
      <c r="Q401" s="277"/>
      <c r="R401" s="277"/>
      <c r="S401" s="277"/>
      <c r="T401" s="277"/>
      <c r="U401" s="277"/>
      <c r="V401" s="277"/>
    </row>
    <row r="402" spans="1:22" s="278" customFormat="1">
      <c r="A402" s="252"/>
      <c r="B402" s="37"/>
      <c r="C402" s="253" t="s">
        <v>423</v>
      </c>
      <c r="D402" s="350"/>
      <c r="E402" s="268"/>
      <c r="F402" s="268"/>
      <c r="G402" s="268">
        <v>3</v>
      </c>
      <c r="H402" s="379">
        <v>1</v>
      </c>
      <c r="I402" s="257">
        <f>PRODUCT(E402:H402)</f>
        <v>3</v>
      </c>
      <c r="J402" s="244"/>
      <c r="K402" s="258"/>
      <c r="L402" s="258"/>
      <c r="M402" s="286"/>
      <c r="N402" s="286"/>
      <c r="O402" s="286"/>
      <c r="P402" s="287"/>
      <c r="Q402" s="277"/>
      <c r="R402" s="277"/>
      <c r="S402" s="277"/>
      <c r="T402" s="277"/>
      <c r="U402" s="277"/>
      <c r="V402" s="277"/>
    </row>
    <row r="403" spans="1:22" s="278" customFormat="1">
      <c r="A403" s="252"/>
      <c r="B403" s="37"/>
      <c r="C403" s="253"/>
      <c r="D403" s="350"/>
      <c r="E403" s="268"/>
      <c r="F403" s="268"/>
      <c r="G403" s="268"/>
      <c r="H403" s="379"/>
      <c r="I403" s="257">
        <f>H403</f>
        <v>0</v>
      </c>
      <c r="J403" s="244"/>
      <c r="K403" s="258"/>
      <c r="L403" s="258"/>
      <c r="M403" s="286"/>
      <c r="N403" s="286"/>
      <c r="O403" s="286"/>
      <c r="P403" s="287"/>
      <c r="Q403" s="277"/>
      <c r="R403" s="277"/>
      <c r="S403" s="277"/>
      <c r="T403" s="277"/>
      <c r="U403" s="277"/>
      <c r="V403" s="277"/>
    </row>
    <row r="404" spans="1:22" s="278" customFormat="1">
      <c r="A404" s="252"/>
      <c r="B404" s="37"/>
      <c r="C404" s="38"/>
      <c r="D404" s="39"/>
      <c r="E404" s="257"/>
      <c r="F404" s="257"/>
      <c r="G404" s="257"/>
      <c r="H404" s="263" t="s">
        <v>253</v>
      </c>
      <c r="I404" s="380">
        <f>SUM(I400:I403)</f>
        <v>5</v>
      </c>
      <c r="J404" s="244"/>
      <c r="K404" s="258"/>
      <c r="L404" s="258"/>
      <c r="M404" s="286"/>
      <c r="N404" s="286"/>
      <c r="O404" s="286"/>
      <c r="P404" s="287"/>
      <c r="Q404" s="277"/>
      <c r="R404" s="277"/>
      <c r="S404" s="277"/>
      <c r="T404" s="277"/>
      <c r="U404" s="277"/>
      <c r="V404" s="277"/>
    </row>
    <row r="405" spans="1:22" s="278" customFormat="1">
      <c r="A405" s="252"/>
      <c r="B405" s="37"/>
      <c r="C405" s="369"/>
      <c r="D405" s="307"/>
      <c r="E405" s="257"/>
      <c r="F405" s="257"/>
      <c r="G405" s="257"/>
      <c r="H405" s="257"/>
      <c r="I405" s="257"/>
      <c r="J405" s="244"/>
      <c r="K405" s="258"/>
      <c r="L405" s="258"/>
      <c r="M405" s="286"/>
      <c r="N405" s="286"/>
      <c r="O405" s="286"/>
      <c r="P405" s="287"/>
      <c r="Q405" s="277"/>
      <c r="R405" s="277"/>
      <c r="S405" s="277"/>
      <c r="T405" s="277"/>
      <c r="U405" s="277"/>
      <c r="V405" s="277"/>
    </row>
    <row r="406" spans="1:22" s="278" customFormat="1">
      <c r="A406" s="376" t="s">
        <v>137</v>
      </c>
      <c r="B406" s="376"/>
      <c r="C406" s="340" t="s">
        <v>138</v>
      </c>
      <c r="D406" s="39"/>
      <c r="E406" s="257"/>
      <c r="F406" s="257"/>
      <c r="G406" s="257"/>
      <c r="H406" s="257"/>
      <c r="I406" s="257"/>
      <c r="J406" s="244"/>
      <c r="K406" s="258"/>
      <c r="L406" s="258"/>
      <c r="M406" s="286"/>
      <c r="N406" s="286"/>
      <c r="O406" s="286"/>
      <c r="P406" s="287"/>
      <c r="Q406" s="277"/>
      <c r="R406" s="277"/>
      <c r="S406" s="277"/>
      <c r="T406" s="277"/>
      <c r="U406" s="277"/>
      <c r="V406" s="277"/>
    </row>
    <row r="407" spans="1:22" s="278" customFormat="1" ht="30.75" customHeight="1">
      <c r="A407" s="252" t="s">
        <v>139</v>
      </c>
      <c r="B407" s="37" t="s">
        <v>140</v>
      </c>
      <c r="C407" s="38" t="str">
        <f>VLOOKUP($B407,SINAPI!$C$6:J6526,2,0)</f>
        <v>ELETRODUTO DE PVC RIGIDO ROSCAVEL DN 15MM (1/2") INCL CONEXOES, FORNECIMENTO E INSTALACAO</v>
      </c>
      <c r="D407" s="381" t="s">
        <v>112</v>
      </c>
      <c r="E407" s="257"/>
      <c r="F407" s="257"/>
      <c r="G407" s="257"/>
      <c r="H407" s="257"/>
      <c r="I407" s="250">
        <f>I413</f>
        <v>26.5</v>
      </c>
      <c r="J407" s="244"/>
      <c r="K407" s="245">
        <f>VLOOKUP($B407,SINAPI!$C$6:R6345,4,0)</f>
        <v>22.03</v>
      </c>
      <c r="L407" s="245"/>
      <c r="M407" s="275"/>
      <c r="N407" s="275"/>
      <c r="O407" s="275"/>
      <c r="P407" s="276">
        <f>SUM(K407:O407)</f>
        <v>22.03</v>
      </c>
      <c r="Q407" s="277"/>
      <c r="R407" s="277"/>
      <c r="S407" s="277"/>
      <c r="T407" s="277"/>
      <c r="U407" s="277"/>
      <c r="V407" s="277"/>
    </row>
    <row r="408" spans="1:22" s="278" customFormat="1">
      <c r="A408" s="252"/>
      <c r="B408" s="37"/>
      <c r="C408" s="38"/>
      <c r="D408" s="257"/>
      <c r="E408" s="257"/>
      <c r="F408" s="257"/>
      <c r="G408" s="257"/>
      <c r="H408" s="257"/>
      <c r="I408" s="250"/>
      <c r="J408" s="244"/>
      <c r="K408" s="258"/>
      <c r="L408" s="258"/>
      <c r="M408" s="286"/>
      <c r="N408" s="286"/>
      <c r="O408" s="286"/>
      <c r="P408" s="287"/>
      <c r="Q408" s="277"/>
      <c r="R408" s="277"/>
      <c r="S408" s="277"/>
      <c r="T408" s="277"/>
      <c r="U408" s="277"/>
      <c r="V408" s="277"/>
    </row>
    <row r="409" spans="1:22" s="278" customFormat="1">
      <c r="A409" s="252"/>
      <c r="B409" s="37"/>
      <c r="C409" s="253" t="s">
        <v>421</v>
      </c>
      <c r="D409" s="262"/>
      <c r="E409" s="262">
        <v>3.5</v>
      </c>
      <c r="F409" s="262"/>
      <c r="G409" s="262"/>
      <c r="H409" s="382"/>
      <c r="I409" s="257">
        <f>PRODUCT(E409:H409)</f>
        <v>3.5</v>
      </c>
      <c r="J409" s="244"/>
      <c r="K409" s="258"/>
      <c r="L409" s="258"/>
      <c r="M409" s="286"/>
      <c r="N409" s="286"/>
      <c r="O409" s="286"/>
      <c r="P409" s="287"/>
      <c r="Q409" s="277"/>
      <c r="R409" s="277"/>
      <c r="S409" s="277"/>
      <c r="T409" s="277"/>
      <c r="U409" s="277"/>
      <c r="V409" s="277"/>
    </row>
    <row r="410" spans="1:22" s="278" customFormat="1">
      <c r="A410" s="252"/>
      <c r="B410" s="37"/>
      <c r="C410" s="253" t="s">
        <v>422</v>
      </c>
      <c r="D410" s="262"/>
      <c r="E410" s="262">
        <v>3.5</v>
      </c>
      <c r="F410" s="262"/>
      <c r="G410" s="262"/>
      <c r="H410" s="382"/>
      <c r="I410" s="257">
        <f>PRODUCT(E410:H410)</f>
        <v>3.5</v>
      </c>
      <c r="J410" s="244"/>
      <c r="K410" s="258"/>
      <c r="L410" s="258"/>
      <c r="M410" s="286"/>
      <c r="N410" s="286"/>
      <c r="O410" s="286"/>
      <c r="P410" s="287"/>
      <c r="Q410" s="277"/>
      <c r="R410" s="277"/>
      <c r="S410" s="277"/>
      <c r="T410" s="277"/>
      <c r="U410" s="277"/>
      <c r="V410" s="277"/>
    </row>
    <row r="411" spans="1:22" s="278" customFormat="1">
      <c r="A411" s="252"/>
      <c r="B411" s="37"/>
      <c r="C411" s="253" t="s">
        <v>423</v>
      </c>
      <c r="D411" s="350"/>
      <c r="E411" s="268">
        <f>5.7+0.8</f>
        <v>6.5</v>
      </c>
      <c r="F411" s="268"/>
      <c r="G411" s="268"/>
      <c r="H411" s="379">
        <v>3</v>
      </c>
      <c r="I411" s="257">
        <f>PRODUCT(E411:H411)</f>
        <v>19.5</v>
      </c>
      <c r="J411" s="244"/>
      <c r="K411" s="258"/>
      <c r="L411" s="258"/>
      <c r="M411" s="286"/>
      <c r="N411" s="286"/>
      <c r="O411" s="286"/>
      <c r="P411" s="287"/>
      <c r="Q411" s="277"/>
      <c r="R411" s="277"/>
      <c r="S411" s="277"/>
      <c r="T411" s="277"/>
      <c r="U411" s="277"/>
      <c r="V411" s="277"/>
    </row>
    <row r="412" spans="1:22" s="278" customFormat="1">
      <c r="A412" s="252"/>
      <c r="B412" s="37"/>
      <c r="C412" s="253"/>
      <c r="D412" s="350"/>
      <c r="E412" s="268"/>
      <c r="F412" s="268"/>
      <c r="G412" s="268"/>
      <c r="H412" s="383"/>
      <c r="I412" s="257">
        <f>PRODUCT(E412:H412)</f>
        <v>0</v>
      </c>
      <c r="J412" s="244"/>
      <c r="K412" s="258"/>
      <c r="L412" s="258"/>
      <c r="M412" s="286"/>
      <c r="N412" s="286"/>
      <c r="O412" s="286"/>
      <c r="P412" s="287"/>
      <c r="Q412" s="277"/>
      <c r="R412" s="277"/>
      <c r="S412" s="277"/>
      <c r="T412" s="277"/>
      <c r="U412" s="277"/>
      <c r="V412" s="277"/>
    </row>
    <row r="413" spans="1:22" s="278" customFormat="1">
      <c r="A413" s="252"/>
      <c r="B413" s="37"/>
      <c r="C413" s="38"/>
      <c r="D413" s="39"/>
      <c r="E413" s="257"/>
      <c r="F413" s="257"/>
      <c r="G413" s="257"/>
      <c r="H413" s="263" t="s">
        <v>253</v>
      </c>
      <c r="I413" s="380">
        <f>SUM(I409:I412)</f>
        <v>26.5</v>
      </c>
      <c r="J413" s="244"/>
      <c r="K413" s="258"/>
      <c r="L413" s="258"/>
      <c r="M413" s="286"/>
      <c r="N413" s="286"/>
      <c r="O413" s="286"/>
      <c r="P413" s="287"/>
      <c r="Q413" s="277"/>
      <c r="R413" s="277"/>
      <c r="S413" s="277"/>
      <c r="T413" s="277"/>
      <c r="U413" s="277"/>
      <c r="V413" s="277"/>
    </row>
    <row r="414" spans="1:22">
      <c r="A414" s="252"/>
      <c r="B414" s="381"/>
      <c r="C414" s="384"/>
      <c r="D414" s="384"/>
      <c r="E414" s="384"/>
      <c r="F414" s="384"/>
      <c r="G414" s="384"/>
      <c r="H414" s="384"/>
      <c r="I414" s="384"/>
      <c r="J414" s="244"/>
      <c r="K414" s="258"/>
      <c r="L414" s="258"/>
      <c r="M414" s="258"/>
      <c r="N414" s="258"/>
      <c r="O414" s="258"/>
      <c r="P414" s="259"/>
      <c r="Q414" s="247"/>
      <c r="R414" s="247"/>
      <c r="S414" s="247"/>
      <c r="T414" s="247"/>
      <c r="U414" s="247"/>
      <c r="V414" s="247"/>
    </row>
    <row r="415" spans="1:22" ht="30.75" customHeight="1">
      <c r="A415" s="252" t="s">
        <v>141</v>
      </c>
      <c r="B415" s="37" t="s">
        <v>142</v>
      </c>
      <c r="C415" s="38" t="str">
        <f>VLOOKUP($B415,SINAPI!$C$6:J6532,2,0)</f>
        <v>ELETRODUTO DE PVC ROSCÁVEL DE 2 1/2, INCL CONEXOES, FORNECIMENTO E INSTALAÇÃO</v>
      </c>
      <c r="D415" s="381" t="s">
        <v>112</v>
      </c>
      <c r="E415" s="257"/>
      <c r="F415" s="257"/>
      <c r="G415" s="257"/>
      <c r="H415" s="257"/>
      <c r="I415" s="250">
        <f>I421</f>
        <v>11</v>
      </c>
      <c r="J415" s="244"/>
      <c r="K415" s="245">
        <f>VLOOKUP($B415,SINAPI!$C$6:R6351,4,0)</f>
        <v>70.69</v>
      </c>
      <c r="L415" s="245"/>
      <c r="M415" s="275"/>
      <c r="N415" s="275"/>
      <c r="O415" s="275"/>
      <c r="P415" s="276">
        <f>SUM(K415:O415)</f>
        <v>70.69</v>
      </c>
      <c r="Q415" s="277"/>
      <c r="R415" s="247"/>
      <c r="S415" s="247"/>
      <c r="T415" s="247"/>
      <c r="U415" s="247"/>
      <c r="V415" s="247"/>
    </row>
    <row r="416" spans="1:22">
      <c r="A416" s="252"/>
      <c r="B416" s="37"/>
      <c r="C416" s="38"/>
      <c r="D416" s="257"/>
      <c r="E416" s="257"/>
      <c r="F416" s="257"/>
      <c r="G416" s="257"/>
      <c r="H416" s="257"/>
      <c r="I416" s="250"/>
      <c r="J416" s="244"/>
      <c r="K416" s="258"/>
      <c r="L416" s="258"/>
      <c r="M416" s="286"/>
      <c r="N416" s="286"/>
      <c r="O416" s="286"/>
      <c r="P416" s="287"/>
      <c r="Q416" s="277"/>
      <c r="R416" s="247"/>
      <c r="S416" s="247"/>
      <c r="T416" s="247"/>
      <c r="U416" s="247"/>
      <c r="V416" s="247"/>
    </row>
    <row r="417" spans="1:22">
      <c r="A417" s="252"/>
      <c r="B417" s="37"/>
      <c r="C417" s="253" t="s">
        <v>421</v>
      </c>
      <c r="D417" s="262"/>
      <c r="E417" s="262">
        <f>0.8+2.2+1</f>
        <v>4</v>
      </c>
      <c r="F417" s="262"/>
      <c r="G417" s="262"/>
      <c r="H417" s="382"/>
      <c r="I417" s="257">
        <f>PRODUCT(E417:H417)</f>
        <v>4</v>
      </c>
      <c r="J417" s="244"/>
      <c r="K417" s="258"/>
      <c r="L417" s="258"/>
      <c r="M417" s="286"/>
      <c r="N417" s="286"/>
      <c r="O417" s="286"/>
      <c r="P417" s="287"/>
      <c r="Q417" s="277"/>
      <c r="R417" s="247"/>
      <c r="S417" s="247"/>
      <c r="T417" s="247"/>
      <c r="U417" s="247"/>
      <c r="V417" s="247"/>
    </row>
    <row r="418" spans="1:22">
      <c r="A418" s="252"/>
      <c r="B418" s="37"/>
      <c r="C418" s="253" t="s">
        <v>422</v>
      </c>
      <c r="D418" s="262"/>
      <c r="E418" s="262">
        <f>0.8+2.2+1</f>
        <v>4</v>
      </c>
      <c r="F418" s="262"/>
      <c r="G418" s="262"/>
      <c r="H418" s="382"/>
      <c r="I418" s="257">
        <f>PRODUCT(E418:H418)</f>
        <v>4</v>
      </c>
      <c r="J418" s="244"/>
      <c r="K418" s="258"/>
      <c r="L418" s="258"/>
      <c r="M418" s="286"/>
      <c r="N418" s="286"/>
      <c r="O418" s="286"/>
      <c r="P418" s="287"/>
      <c r="Q418" s="277"/>
      <c r="R418" s="247"/>
      <c r="S418" s="247"/>
      <c r="T418" s="247"/>
      <c r="U418" s="247"/>
      <c r="V418" s="247"/>
    </row>
    <row r="419" spans="1:22">
      <c r="A419" s="252"/>
      <c r="B419" s="37"/>
      <c r="C419" s="38"/>
      <c r="D419" s="262"/>
      <c r="E419" s="268"/>
      <c r="F419" s="268"/>
      <c r="G419" s="268"/>
      <c r="H419" s="385">
        <v>3</v>
      </c>
      <c r="I419" s="257">
        <f>PRODUCT(E419:H419)</f>
        <v>3</v>
      </c>
      <c r="J419" s="244"/>
      <c r="K419" s="258"/>
      <c r="L419" s="258"/>
      <c r="M419" s="286"/>
      <c r="N419" s="286"/>
      <c r="O419" s="286"/>
      <c r="P419" s="287"/>
      <c r="Q419" s="277"/>
      <c r="R419" s="247"/>
      <c r="S419" s="247"/>
      <c r="T419" s="247"/>
      <c r="U419" s="247"/>
      <c r="V419" s="247"/>
    </row>
    <row r="420" spans="1:22">
      <c r="A420" s="252"/>
      <c r="B420" s="37"/>
      <c r="C420" s="38"/>
      <c r="D420" s="262"/>
      <c r="E420" s="268"/>
      <c r="F420" s="268"/>
      <c r="G420" s="268"/>
      <c r="H420" s="386"/>
      <c r="I420" s="312"/>
      <c r="J420" s="244"/>
      <c r="K420" s="258"/>
      <c r="L420" s="258"/>
      <c r="M420" s="286"/>
      <c r="N420" s="286"/>
      <c r="O420" s="286"/>
      <c r="P420" s="287"/>
      <c r="Q420" s="277"/>
      <c r="R420" s="247"/>
      <c r="S420" s="247"/>
      <c r="T420" s="247"/>
      <c r="U420" s="247"/>
      <c r="V420" s="247"/>
    </row>
    <row r="421" spans="1:22">
      <c r="A421" s="252"/>
      <c r="B421" s="37"/>
      <c r="C421" s="38"/>
      <c r="D421" s="39"/>
      <c r="E421" s="257"/>
      <c r="F421" s="257"/>
      <c r="G421" s="257"/>
      <c r="H421" s="263" t="s">
        <v>253</v>
      </c>
      <c r="I421" s="380">
        <f>SUM(I417:I419)</f>
        <v>11</v>
      </c>
      <c r="J421" s="244"/>
      <c r="K421" s="258"/>
      <c r="L421" s="258"/>
      <c r="M421" s="286"/>
      <c r="N421" s="286"/>
      <c r="O421" s="286"/>
      <c r="P421" s="287"/>
      <c r="Q421" s="277"/>
      <c r="R421" s="247"/>
      <c r="S421" s="247"/>
      <c r="T421" s="247"/>
      <c r="U421" s="247"/>
      <c r="V421" s="247"/>
    </row>
    <row r="422" spans="1:22">
      <c r="A422" s="252"/>
      <c r="B422" s="381"/>
      <c r="C422" s="384"/>
      <c r="D422" s="384"/>
      <c r="E422" s="384"/>
      <c r="F422" s="384"/>
      <c r="G422" s="384"/>
      <c r="H422" s="384"/>
      <c r="I422" s="384"/>
      <c r="J422" s="244"/>
      <c r="K422" s="258"/>
      <c r="L422" s="258"/>
      <c r="M422" s="258"/>
      <c r="N422" s="258"/>
      <c r="O422" s="258"/>
      <c r="P422" s="259"/>
      <c r="Q422" s="247"/>
      <c r="R422" s="247"/>
      <c r="S422" s="247"/>
      <c r="T422" s="247"/>
      <c r="U422" s="247"/>
      <c r="V422" s="247"/>
    </row>
    <row r="423" spans="1:22">
      <c r="A423" s="252"/>
      <c r="B423" s="381"/>
      <c r="C423" s="384"/>
      <c r="D423" s="384"/>
      <c r="E423" s="384"/>
      <c r="F423" s="384"/>
      <c r="G423" s="384"/>
      <c r="H423" s="384"/>
      <c r="I423" s="384"/>
      <c r="J423" s="244"/>
      <c r="K423" s="258"/>
      <c r="L423" s="258"/>
      <c r="M423" s="258"/>
      <c r="N423" s="258"/>
      <c r="O423" s="258"/>
      <c r="P423" s="259"/>
      <c r="Q423" s="247"/>
      <c r="R423" s="247"/>
      <c r="S423" s="247"/>
      <c r="T423" s="247"/>
      <c r="U423" s="247"/>
      <c r="V423" s="247"/>
    </row>
    <row r="424" spans="1:22">
      <c r="A424" s="252"/>
      <c r="B424" s="381"/>
      <c r="C424" s="384"/>
      <c r="D424" s="384"/>
      <c r="E424" s="384"/>
      <c r="F424" s="384"/>
      <c r="G424" s="384"/>
      <c r="H424" s="384"/>
      <c r="I424" s="384"/>
      <c r="J424" s="244"/>
      <c r="K424" s="258"/>
      <c r="L424" s="258"/>
      <c r="M424" s="258"/>
      <c r="N424" s="258"/>
      <c r="O424" s="258"/>
      <c r="P424" s="259"/>
      <c r="Q424" s="247"/>
      <c r="R424" s="247"/>
      <c r="S424" s="247"/>
      <c r="T424" s="247"/>
      <c r="U424" s="247"/>
      <c r="V424" s="247"/>
    </row>
    <row r="425" spans="1:22" s="278" customFormat="1" ht="38.25">
      <c r="A425" s="252" t="s">
        <v>143</v>
      </c>
      <c r="B425" s="37" t="s">
        <v>144</v>
      </c>
      <c r="C425" s="38" t="str">
        <f>VLOOKUP($B425,SINAPI!$C$6:J6540,2,0)</f>
        <v>ELETRODUTO DE PVC RIGIDO ROSCAVEL DN (3/4") INCL CONEXOES, ENVELOPADO - FORNECIMENTO E INSTALACAO</v>
      </c>
      <c r="D425" s="39" t="str">
        <f>VLOOKUP($B425,SINAPI!$C$6:K6540,3,0)</f>
        <v>M</v>
      </c>
      <c r="E425" s="257"/>
      <c r="F425" s="257"/>
      <c r="G425" s="257"/>
      <c r="H425" s="257"/>
      <c r="I425" s="250">
        <f>I431</f>
        <v>58.7</v>
      </c>
      <c r="J425" s="244"/>
      <c r="K425" s="245">
        <f>VLOOKUP($B425,SINAPI!$C$6:R6540,4,0)</f>
        <v>50.878</v>
      </c>
      <c r="L425" s="245"/>
      <c r="M425" s="275"/>
      <c r="N425" s="275"/>
      <c r="O425" s="275"/>
      <c r="P425" s="276">
        <f>SUM(K425:O425)</f>
        <v>50.878</v>
      </c>
      <c r="Q425" s="277"/>
      <c r="R425" s="277"/>
      <c r="S425" s="277"/>
      <c r="T425" s="277"/>
      <c r="U425" s="277"/>
      <c r="V425" s="277"/>
    </row>
    <row r="426" spans="1:22" s="278" customFormat="1" ht="15" customHeight="1">
      <c r="A426" s="252"/>
      <c r="B426" s="252"/>
      <c r="C426" s="38"/>
      <c r="D426" s="267"/>
      <c r="E426" s="262"/>
      <c r="F426" s="262"/>
      <c r="G426" s="262"/>
      <c r="H426" s="382"/>
      <c r="I426" s="342"/>
      <c r="J426" s="244"/>
      <c r="K426" s="258"/>
      <c r="L426" s="258"/>
      <c r="M426" s="286"/>
      <c r="N426" s="286"/>
      <c r="O426" s="286"/>
      <c r="P426" s="287"/>
      <c r="Q426" s="277"/>
      <c r="R426" s="277"/>
      <c r="S426" s="277"/>
      <c r="T426" s="277"/>
      <c r="U426" s="277"/>
      <c r="V426" s="277"/>
    </row>
    <row r="427" spans="1:22" s="278" customFormat="1" ht="15" customHeight="1">
      <c r="A427" s="252"/>
      <c r="B427" s="252"/>
      <c r="C427" s="253" t="s">
        <v>421</v>
      </c>
      <c r="D427" s="262"/>
      <c r="E427" s="262">
        <v>12</v>
      </c>
      <c r="F427" s="262"/>
      <c r="G427" s="262"/>
      <c r="H427" s="382"/>
      <c r="I427" s="257">
        <f>PRODUCT(E427:H427)</f>
        <v>12</v>
      </c>
      <c r="J427" s="244"/>
      <c r="K427" s="258"/>
      <c r="L427" s="258"/>
      <c r="M427" s="286"/>
      <c r="N427" s="286"/>
      <c r="O427" s="286"/>
      <c r="P427" s="287"/>
      <c r="Q427" s="277"/>
      <c r="R427" s="277"/>
      <c r="S427" s="277"/>
      <c r="T427" s="277"/>
      <c r="U427" s="277"/>
      <c r="V427" s="277"/>
    </row>
    <row r="428" spans="1:22" s="278" customFormat="1" ht="15" customHeight="1">
      <c r="A428" s="252"/>
      <c r="B428" s="252"/>
      <c r="C428" s="253" t="s">
        <v>422</v>
      </c>
      <c r="D428" s="267"/>
      <c r="E428" s="262">
        <v>12.5</v>
      </c>
      <c r="F428" s="262"/>
      <c r="G428" s="262"/>
      <c r="H428" s="382"/>
      <c r="I428" s="257">
        <f>PRODUCT(E428:H428)</f>
        <v>12.5</v>
      </c>
      <c r="J428" s="244"/>
      <c r="K428" s="258"/>
      <c r="L428" s="258"/>
      <c r="M428" s="286"/>
      <c r="N428" s="286"/>
      <c r="O428" s="286"/>
      <c r="P428" s="287"/>
      <c r="Q428" s="277"/>
      <c r="R428" s="277"/>
      <c r="S428" s="277"/>
      <c r="T428" s="277"/>
      <c r="U428" s="277"/>
      <c r="V428" s="277"/>
    </row>
    <row r="429" spans="1:22" s="278" customFormat="1" ht="15" customHeight="1">
      <c r="A429" s="252"/>
      <c r="B429" s="252"/>
      <c r="C429" s="253" t="s">
        <v>351</v>
      </c>
      <c r="D429" s="267"/>
      <c r="E429" s="262">
        <f>11.4</f>
        <v>11.4</v>
      </c>
      <c r="F429" s="262"/>
      <c r="G429" s="262"/>
      <c r="H429" s="382">
        <v>3</v>
      </c>
      <c r="I429" s="257">
        <f>PRODUCT(E429:H429)</f>
        <v>34.200000000000003</v>
      </c>
      <c r="J429" s="244"/>
      <c r="K429" s="258"/>
      <c r="L429" s="258"/>
      <c r="M429" s="286"/>
      <c r="N429" s="286"/>
      <c r="O429" s="286"/>
      <c r="P429" s="287"/>
      <c r="Q429" s="277"/>
      <c r="R429" s="277"/>
      <c r="S429" s="277"/>
      <c r="T429" s="277"/>
      <c r="U429" s="277"/>
      <c r="V429" s="277"/>
    </row>
    <row r="430" spans="1:22" s="278" customFormat="1">
      <c r="A430" s="252"/>
      <c r="B430" s="37"/>
      <c r="C430" s="253"/>
      <c r="D430" s="350"/>
      <c r="E430" s="268"/>
      <c r="F430" s="268"/>
      <c r="G430" s="268"/>
      <c r="H430" s="383"/>
      <c r="I430" s="257">
        <f>PRODUCT(E430:H430)</f>
        <v>0</v>
      </c>
      <c r="J430" s="244"/>
      <c r="K430" s="258"/>
      <c r="L430" s="258"/>
      <c r="M430" s="286"/>
      <c r="N430" s="286"/>
      <c r="O430" s="286"/>
      <c r="P430" s="287"/>
      <c r="Q430" s="277"/>
      <c r="R430" s="277"/>
      <c r="S430" s="277"/>
      <c r="T430" s="277"/>
      <c r="U430" s="277"/>
      <c r="V430" s="277"/>
    </row>
    <row r="431" spans="1:22" s="278" customFormat="1">
      <c r="A431" s="252"/>
      <c r="B431" s="37"/>
      <c r="C431" s="38"/>
      <c r="D431" s="39"/>
      <c r="E431" s="257"/>
      <c r="F431" s="257"/>
      <c r="G431" s="257"/>
      <c r="H431" s="263" t="s">
        <v>253</v>
      </c>
      <c r="I431" s="380">
        <f>SUM(I427:I430)</f>
        <v>58.7</v>
      </c>
      <c r="J431" s="244"/>
      <c r="K431" s="258"/>
      <c r="L431" s="258"/>
      <c r="M431" s="286"/>
      <c r="N431" s="286"/>
      <c r="O431" s="286"/>
      <c r="P431" s="287"/>
      <c r="Q431" s="277"/>
      <c r="R431" s="277"/>
      <c r="S431" s="277"/>
      <c r="T431" s="277"/>
      <c r="U431" s="277"/>
      <c r="V431" s="277"/>
    </row>
    <row r="432" spans="1:22" s="278" customFormat="1">
      <c r="A432" s="252"/>
      <c r="B432" s="37"/>
      <c r="C432" s="38"/>
      <c r="D432" s="39"/>
      <c r="E432" s="257"/>
      <c r="F432" s="257"/>
      <c r="G432" s="257"/>
      <c r="H432" s="383"/>
      <c r="I432" s="262"/>
      <c r="J432" s="244"/>
      <c r="K432" s="258"/>
      <c r="L432" s="258"/>
      <c r="M432" s="286"/>
      <c r="N432" s="286"/>
      <c r="O432" s="286"/>
      <c r="P432" s="287"/>
      <c r="Q432" s="277"/>
      <c r="R432" s="277"/>
      <c r="S432" s="277"/>
      <c r="T432" s="277"/>
      <c r="U432" s="277"/>
      <c r="V432" s="277"/>
    </row>
    <row r="433" spans="1:22" s="278" customFormat="1" ht="44.25" customHeight="1">
      <c r="A433" s="252" t="s">
        <v>145</v>
      </c>
      <c r="B433" s="37">
        <v>72309</v>
      </c>
      <c r="C433" s="38" t="str">
        <f>VLOOKUP($B433,SINAPI!$C$6:J6551,2,0)</f>
        <v>ELETRODUTO DE ACO GALVANIZADO ELETROLITICO DN 25MM (1"), TIPO LEVE, INCLUSIVE CONEXOES - FORNECIMENTO E INSTALACAO</v>
      </c>
      <c r="D433" s="39" t="str">
        <f>VLOOKUP($B433,SINAPI!$C$6:K6551,3,0)</f>
        <v>M</v>
      </c>
      <c r="E433" s="257"/>
      <c r="F433" s="257"/>
      <c r="G433" s="257"/>
      <c r="H433" s="257"/>
      <c r="I433" s="250">
        <f>I439</f>
        <v>32.5</v>
      </c>
      <c r="J433" s="244"/>
      <c r="K433" s="245">
        <f>VLOOKUP($B433,SINAPI!$C$6:R6551,4,0)</f>
        <v>23.1</v>
      </c>
      <c r="L433" s="245"/>
      <c r="M433" s="275"/>
      <c r="N433" s="275"/>
      <c r="O433" s="275"/>
      <c r="P433" s="276">
        <f>SUM(K433:O433)</f>
        <v>23.1</v>
      </c>
      <c r="Q433" s="277"/>
      <c r="R433" s="277"/>
      <c r="S433" s="277"/>
      <c r="T433" s="277"/>
      <c r="U433" s="277"/>
      <c r="V433" s="277"/>
    </row>
    <row r="434" spans="1:22" s="278" customFormat="1" ht="15" customHeight="1">
      <c r="A434" s="252"/>
      <c r="B434" s="252"/>
      <c r="C434" s="38"/>
      <c r="D434" s="267"/>
      <c r="E434" s="262"/>
      <c r="F434" s="262"/>
      <c r="G434" s="262"/>
      <c r="H434" s="382"/>
      <c r="I434" s="342"/>
      <c r="J434" s="244"/>
      <c r="K434" s="258"/>
      <c r="L434" s="258"/>
      <c r="M434" s="286"/>
      <c r="N434" s="286"/>
      <c r="O434" s="286"/>
      <c r="P434" s="287"/>
      <c r="Q434" s="277"/>
      <c r="R434" s="277"/>
      <c r="S434" s="277"/>
      <c r="T434" s="277"/>
      <c r="U434" s="277"/>
      <c r="V434" s="277"/>
    </row>
    <row r="435" spans="1:22" s="278" customFormat="1">
      <c r="A435" s="252"/>
      <c r="B435" s="37"/>
      <c r="C435" s="253" t="s">
        <v>421</v>
      </c>
      <c r="D435" s="350"/>
      <c r="E435" s="268">
        <v>6.5</v>
      </c>
      <c r="F435" s="268"/>
      <c r="G435" s="250"/>
      <c r="H435" s="382"/>
      <c r="I435" s="257">
        <f>PRODUCT(E435:H435)</f>
        <v>6.5</v>
      </c>
      <c r="J435" s="244"/>
      <c r="K435" s="258"/>
      <c r="L435" s="258"/>
      <c r="M435" s="286"/>
      <c r="N435" s="286"/>
      <c r="O435" s="286"/>
      <c r="P435" s="287"/>
      <c r="Q435" s="277"/>
      <c r="R435" s="277"/>
      <c r="S435" s="277"/>
      <c r="T435" s="277"/>
      <c r="U435" s="277"/>
      <c r="V435" s="277"/>
    </row>
    <row r="436" spans="1:22" s="278" customFormat="1">
      <c r="A436" s="252"/>
      <c r="B436" s="37"/>
      <c r="C436" s="253" t="s">
        <v>422</v>
      </c>
      <c r="D436" s="350"/>
      <c r="E436" s="268">
        <v>6.5</v>
      </c>
      <c r="F436" s="268"/>
      <c r="G436" s="250"/>
      <c r="H436" s="387"/>
      <c r="I436" s="257">
        <f>PRODUCT(E436:H436)</f>
        <v>6.5</v>
      </c>
      <c r="J436" s="244"/>
      <c r="K436" s="258"/>
      <c r="L436" s="258"/>
      <c r="M436" s="286"/>
      <c r="N436" s="286"/>
      <c r="O436" s="286"/>
      <c r="P436" s="287"/>
      <c r="Q436" s="277"/>
      <c r="R436" s="277"/>
      <c r="S436" s="277"/>
      <c r="T436" s="277"/>
      <c r="U436" s="277"/>
      <c r="V436" s="277"/>
    </row>
    <row r="437" spans="1:22" s="278" customFormat="1">
      <c r="A437" s="252"/>
      <c r="B437" s="37"/>
      <c r="C437" s="253" t="s">
        <v>351</v>
      </c>
      <c r="D437" s="350"/>
      <c r="E437" s="268">
        <v>6.5</v>
      </c>
      <c r="F437" s="268"/>
      <c r="G437" s="306"/>
      <c r="H437" s="387">
        <v>3</v>
      </c>
      <c r="I437" s="257">
        <f>PRODUCT(E437:H437)</f>
        <v>19.5</v>
      </c>
      <c r="J437" s="244"/>
      <c r="K437" s="258"/>
      <c r="L437" s="258"/>
      <c r="M437" s="286"/>
      <c r="N437" s="286"/>
      <c r="O437" s="286"/>
      <c r="P437" s="287"/>
      <c r="Q437" s="277"/>
      <c r="R437" s="277"/>
      <c r="S437" s="277"/>
      <c r="T437" s="277"/>
      <c r="U437" s="277"/>
      <c r="V437" s="277"/>
    </row>
    <row r="438" spans="1:22" s="278" customFormat="1">
      <c r="A438" s="252"/>
      <c r="B438" s="37"/>
      <c r="C438" s="253"/>
      <c r="D438" s="350"/>
      <c r="E438" s="268"/>
      <c r="F438" s="268"/>
      <c r="G438" s="306"/>
      <c r="H438" s="387"/>
      <c r="I438" s="257">
        <f>PRODUCT(E438:H438)</f>
        <v>0</v>
      </c>
      <c r="J438" s="244"/>
      <c r="K438" s="258"/>
      <c r="L438" s="258"/>
      <c r="M438" s="286"/>
      <c r="N438" s="286"/>
      <c r="O438" s="286"/>
      <c r="P438" s="287"/>
      <c r="Q438" s="277"/>
      <c r="R438" s="277"/>
      <c r="S438" s="277"/>
      <c r="T438" s="277"/>
      <c r="U438" s="277"/>
      <c r="V438" s="277"/>
    </row>
    <row r="439" spans="1:22" s="278" customFormat="1">
      <c r="A439" s="252"/>
      <c r="B439" s="37"/>
      <c r="C439" s="38"/>
      <c r="D439" s="39"/>
      <c r="E439" s="257"/>
      <c r="F439" s="257"/>
      <c r="G439" s="294"/>
      <c r="H439" s="263" t="s">
        <v>253</v>
      </c>
      <c r="I439" s="380">
        <f>SUM(I435:I438)</f>
        <v>32.5</v>
      </c>
      <c r="J439" s="244"/>
      <c r="K439" s="258"/>
      <c r="L439" s="258"/>
      <c r="M439" s="286"/>
      <c r="N439" s="286"/>
      <c r="O439" s="286"/>
      <c r="P439" s="287"/>
      <c r="Q439" s="277"/>
      <c r="R439" s="277"/>
      <c r="S439" s="277"/>
      <c r="T439" s="277"/>
      <c r="U439" s="277"/>
      <c r="V439" s="277"/>
    </row>
    <row r="440" spans="1:22" s="278" customFormat="1">
      <c r="A440" s="252"/>
      <c r="B440" s="37"/>
      <c r="C440" s="38"/>
      <c r="D440" s="39"/>
      <c r="E440" s="257"/>
      <c r="F440" s="257"/>
      <c r="G440" s="257"/>
      <c r="H440" s="383"/>
      <c r="I440" s="262"/>
      <c r="J440" s="244"/>
      <c r="K440" s="258"/>
      <c r="L440" s="258"/>
      <c r="M440" s="286"/>
      <c r="N440" s="286"/>
      <c r="O440" s="286"/>
      <c r="P440" s="287"/>
      <c r="Q440" s="277"/>
      <c r="R440" s="277"/>
      <c r="S440" s="277"/>
      <c r="T440" s="277"/>
      <c r="U440" s="277"/>
      <c r="V440" s="277"/>
    </row>
    <row r="441" spans="1:22" s="278" customFormat="1" ht="28.5" customHeight="1">
      <c r="A441" s="252" t="s">
        <v>148</v>
      </c>
      <c r="B441" s="37" t="s">
        <v>424</v>
      </c>
      <c r="C441" s="38" t="str">
        <f>VLOOKUP($B441,SINAPI!$C$6:J6557,2,0)</f>
        <v>ELETRODUTO DE PVC RIGIDO ROSCAVEL DN (3/4") INCL CONEXOES, FORNECIMENTO E INSTALACAO</v>
      </c>
      <c r="D441" s="39" t="str">
        <f>VLOOKUP($B441,SINAPI!$C$6:K6557,3,0)</f>
        <v>M</v>
      </c>
      <c r="E441" s="257"/>
      <c r="F441" s="257"/>
      <c r="G441" s="257"/>
      <c r="H441" s="257"/>
      <c r="I441" s="250">
        <f>I449</f>
        <v>114.23999999999998</v>
      </c>
      <c r="J441" s="244"/>
      <c r="K441" s="245">
        <f>VLOOKUP($B441,SINAPI!$C$6:R6557,4,0)</f>
        <v>25.62</v>
      </c>
      <c r="L441" s="245"/>
      <c r="M441" s="275"/>
      <c r="N441" s="275"/>
      <c r="O441" s="275"/>
      <c r="P441" s="276">
        <f>SUM(K441:O441)</f>
        <v>25.62</v>
      </c>
      <c r="Q441" s="277"/>
      <c r="R441" s="277"/>
      <c r="S441" s="277"/>
      <c r="T441" s="277"/>
      <c r="U441" s="277"/>
      <c r="V441" s="277"/>
    </row>
    <row r="442" spans="1:22" s="278" customFormat="1">
      <c r="A442" s="252"/>
      <c r="B442" s="252"/>
      <c r="C442" s="38"/>
      <c r="D442" s="267"/>
      <c r="E442" s="262"/>
      <c r="F442" s="262"/>
      <c r="G442" s="262"/>
      <c r="H442" s="382"/>
      <c r="I442" s="342"/>
      <c r="J442" s="244"/>
      <c r="K442" s="258"/>
      <c r="L442" s="258"/>
      <c r="M442" s="286"/>
      <c r="N442" s="286"/>
      <c r="O442" s="286"/>
      <c r="P442" s="287"/>
      <c r="Q442" s="277"/>
      <c r="R442" s="277"/>
      <c r="S442" s="277"/>
      <c r="T442" s="277"/>
      <c r="U442" s="277"/>
      <c r="V442" s="277"/>
    </row>
    <row r="443" spans="1:22" s="278" customFormat="1">
      <c r="A443" s="252"/>
      <c r="B443" s="37"/>
      <c r="C443" s="253" t="s">
        <v>421</v>
      </c>
      <c r="D443" s="262"/>
      <c r="E443" s="262">
        <f>6.5+3.3+8.5+12</f>
        <v>30.3</v>
      </c>
      <c r="F443" s="262"/>
      <c r="G443" s="262"/>
      <c r="H443" s="382"/>
      <c r="I443" s="257">
        <f t="shared" ref="I443:I448" si="9">PRODUCT(E443:H443)</f>
        <v>30.3</v>
      </c>
      <c r="J443" s="244"/>
      <c r="K443" s="258"/>
      <c r="L443" s="258"/>
      <c r="M443" s="286"/>
      <c r="N443" s="286"/>
      <c r="O443" s="286"/>
      <c r="P443" s="287"/>
      <c r="Q443" s="277"/>
      <c r="R443" s="277"/>
      <c r="S443" s="277"/>
      <c r="T443" s="277"/>
      <c r="U443" s="277"/>
      <c r="V443" s="277"/>
    </row>
    <row r="444" spans="1:22" s="278" customFormat="1">
      <c r="A444" s="252"/>
      <c r="B444" s="37"/>
      <c r="C444" s="253"/>
      <c r="D444" s="262"/>
      <c r="E444" s="262">
        <f>2+1.8+2+1.5+1.7+2+1.5</f>
        <v>12.5</v>
      </c>
      <c r="F444" s="262"/>
      <c r="G444" s="262"/>
      <c r="H444" s="382"/>
      <c r="I444" s="257">
        <f t="shared" si="9"/>
        <v>12.5</v>
      </c>
      <c r="J444" s="244"/>
      <c r="K444" s="258"/>
      <c r="L444" s="258"/>
      <c r="M444" s="286"/>
      <c r="N444" s="286"/>
      <c r="O444" s="286"/>
      <c r="P444" s="287"/>
      <c r="Q444" s="277"/>
      <c r="R444" s="277"/>
      <c r="S444" s="277"/>
      <c r="T444" s="277"/>
      <c r="U444" s="277"/>
      <c r="V444" s="277"/>
    </row>
    <row r="445" spans="1:22" s="278" customFormat="1">
      <c r="A445" s="252"/>
      <c r="B445" s="37"/>
      <c r="C445" s="253" t="s">
        <v>422</v>
      </c>
      <c r="D445" s="267"/>
      <c r="E445" s="262">
        <f>12.5+3+3+6.3</f>
        <v>24.8</v>
      </c>
      <c r="F445" s="262"/>
      <c r="G445" s="262"/>
      <c r="H445" s="382"/>
      <c r="I445" s="257">
        <f t="shared" si="9"/>
        <v>24.8</v>
      </c>
      <c r="J445" s="244"/>
      <c r="K445" s="258"/>
      <c r="L445" s="258"/>
      <c r="M445" s="286"/>
      <c r="N445" s="286"/>
      <c r="O445" s="286"/>
      <c r="P445" s="287"/>
      <c r="Q445" s="277"/>
      <c r="R445" s="277"/>
      <c r="S445" s="277"/>
      <c r="T445" s="277"/>
      <c r="U445" s="277"/>
      <c r="V445" s="277"/>
    </row>
    <row r="446" spans="1:22" s="278" customFormat="1">
      <c r="A446" s="252"/>
      <c r="B446" s="37"/>
      <c r="C446" s="38"/>
      <c r="D446" s="267"/>
      <c r="E446" s="262">
        <f>2+2+1.5+2+2+1.5+1.8</f>
        <v>12.8</v>
      </c>
      <c r="F446" s="262"/>
      <c r="G446" s="262"/>
      <c r="H446" s="382"/>
      <c r="I446" s="257">
        <f t="shared" si="9"/>
        <v>12.8</v>
      </c>
      <c r="J446" s="244"/>
      <c r="K446" s="258"/>
      <c r="L446" s="258"/>
      <c r="M446" s="286"/>
      <c r="N446" s="286"/>
      <c r="O446" s="286"/>
      <c r="P446" s="287"/>
      <c r="Q446" s="277"/>
      <c r="R446" s="277"/>
      <c r="S446" s="277"/>
      <c r="T446" s="277"/>
      <c r="U446" s="277"/>
      <c r="V446" s="277"/>
    </row>
    <row r="447" spans="1:22" s="278" customFormat="1">
      <c r="A447" s="252"/>
      <c r="B447" s="37"/>
      <c r="C447" s="253" t="s">
        <v>423</v>
      </c>
      <c r="D447" s="267"/>
      <c r="E447" s="257">
        <f>+(2.82*4)</f>
        <v>11.28</v>
      </c>
      <c r="F447" s="257"/>
      <c r="G447" s="257"/>
      <c r="H447" s="382">
        <v>3</v>
      </c>
      <c r="I447" s="257">
        <f t="shared" si="9"/>
        <v>33.839999999999996</v>
      </c>
      <c r="J447" s="244"/>
      <c r="K447" s="258"/>
      <c r="L447" s="258"/>
      <c r="M447" s="286"/>
      <c r="N447" s="286"/>
      <c r="O447" s="286"/>
      <c r="P447" s="287"/>
      <c r="Q447" s="277"/>
      <c r="R447" s="277"/>
      <c r="S447" s="277"/>
      <c r="T447" s="277"/>
      <c r="U447" s="277"/>
      <c r="V447" s="277"/>
    </row>
    <row r="448" spans="1:22" s="278" customFormat="1">
      <c r="A448" s="252"/>
      <c r="B448" s="37"/>
      <c r="C448" s="253"/>
      <c r="D448" s="267"/>
      <c r="E448" s="257"/>
      <c r="F448" s="257"/>
      <c r="G448" s="257"/>
      <c r="H448" s="382"/>
      <c r="I448" s="257">
        <f t="shared" si="9"/>
        <v>0</v>
      </c>
      <c r="J448" s="244"/>
      <c r="K448" s="258"/>
      <c r="L448" s="258"/>
      <c r="M448" s="286"/>
      <c r="N448" s="286"/>
      <c r="O448" s="286"/>
      <c r="P448" s="287"/>
      <c r="Q448" s="277"/>
      <c r="R448" s="277"/>
      <c r="S448" s="277"/>
      <c r="T448" s="277"/>
      <c r="U448" s="277"/>
      <c r="V448" s="277"/>
    </row>
    <row r="449" spans="1:22" s="278" customFormat="1">
      <c r="A449" s="252"/>
      <c r="B449" s="37"/>
      <c r="C449" s="38"/>
      <c r="D449" s="39"/>
      <c r="E449" s="257"/>
      <c r="F449" s="257"/>
      <c r="G449" s="257"/>
      <c r="H449" s="263" t="s">
        <v>253</v>
      </c>
      <c r="I449" s="380">
        <f>SUM(I443:I447)</f>
        <v>114.23999999999998</v>
      </c>
      <c r="J449" s="244"/>
      <c r="K449" s="258"/>
      <c r="L449" s="258"/>
      <c r="M449" s="286"/>
      <c r="N449" s="286"/>
      <c r="O449" s="286"/>
      <c r="P449" s="287"/>
      <c r="Q449" s="277"/>
      <c r="R449" s="277"/>
      <c r="S449" s="277"/>
      <c r="T449" s="277"/>
      <c r="U449" s="277"/>
      <c r="V449" s="277"/>
    </row>
    <row r="450" spans="1:22" s="278" customFormat="1">
      <c r="A450" s="252"/>
      <c r="B450" s="37"/>
      <c r="C450" s="38"/>
      <c r="D450" s="39"/>
      <c r="E450" s="257"/>
      <c r="F450" s="257"/>
      <c r="G450" s="257"/>
      <c r="H450" s="383"/>
      <c r="I450" s="262"/>
      <c r="J450" s="244"/>
      <c r="K450" s="258"/>
      <c r="L450" s="258"/>
      <c r="M450" s="286"/>
      <c r="N450" s="286"/>
      <c r="O450" s="286"/>
      <c r="P450" s="287"/>
      <c r="Q450" s="277"/>
      <c r="R450" s="277"/>
      <c r="S450" s="277"/>
      <c r="T450" s="277"/>
      <c r="U450" s="277"/>
      <c r="V450" s="277"/>
    </row>
    <row r="451" spans="1:22" s="278" customFormat="1" ht="25.5">
      <c r="A451" s="252" t="s">
        <v>149</v>
      </c>
      <c r="B451" s="37" t="s">
        <v>150</v>
      </c>
      <c r="C451" s="38" t="str">
        <f>VLOOKUP($B451,SINAPI!$C$6:J6567,2,0)</f>
        <v>CURVA FERRO GALVANIZADO 90G ROSCA FEMEA REF. 2 1/2", FORNECIMENTO E INSTALAÇÃO</v>
      </c>
      <c r="D451" s="39" t="str">
        <f>VLOOKUP($B451,SINAPI!$C$6:K6567,3,0)</f>
        <v>UN</v>
      </c>
      <c r="E451" s="257"/>
      <c r="F451" s="257"/>
      <c r="G451" s="257"/>
      <c r="H451" s="257"/>
      <c r="I451" s="250">
        <f>I456</f>
        <v>2</v>
      </c>
      <c r="J451" s="244"/>
      <c r="K451" s="245">
        <f>VLOOKUP($B451,SINAPI!$C$6:R6567,4,0)</f>
        <v>95.274479999999997</v>
      </c>
      <c r="L451" s="245"/>
      <c r="M451" s="275"/>
      <c r="N451" s="275"/>
      <c r="O451" s="275"/>
      <c r="P451" s="276">
        <f>SUM(K451:O451)</f>
        <v>95.274479999999997</v>
      </c>
      <c r="Q451" s="277"/>
      <c r="R451" s="277"/>
      <c r="S451" s="277"/>
      <c r="T451" s="277"/>
      <c r="U451" s="277"/>
      <c r="V451" s="277"/>
    </row>
    <row r="452" spans="1:22" s="278" customFormat="1">
      <c r="A452" s="252"/>
      <c r="B452" s="252"/>
      <c r="C452" s="38"/>
      <c r="D452" s="267"/>
      <c r="E452" s="262"/>
      <c r="F452" s="262"/>
      <c r="G452" s="262"/>
      <c r="H452" s="382"/>
      <c r="I452" s="342"/>
      <c r="J452" s="244"/>
      <c r="K452" s="258"/>
      <c r="L452" s="258"/>
      <c r="M452" s="286"/>
      <c r="N452" s="286"/>
      <c r="O452" s="286"/>
      <c r="P452" s="287"/>
      <c r="Q452" s="277"/>
      <c r="R452" s="277"/>
      <c r="S452" s="277"/>
      <c r="T452" s="277"/>
      <c r="U452" s="277"/>
      <c r="V452" s="277"/>
    </row>
    <row r="453" spans="1:22" s="278" customFormat="1">
      <c r="A453" s="252"/>
      <c r="B453" s="37"/>
      <c r="C453" s="253" t="s">
        <v>421</v>
      </c>
      <c r="D453" s="262"/>
      <c r="E453" s="262"/>
      <c r="F453" s="262"/>
      <c r="G453" s="262"/>
      <c r="H453" s="382">
        <v>1</v>
      </c>
      <c r="I453" s="257">
        <f>PRODUCT(E453:H453)</f>
        <v>1</v>
      </c>
      <c r="J453" s="244"/>
      <c r="K453" s="258"/>
      <c r="L453" s="258"/>
      <c r="M453" s="286"/>
      <c r="N453" s="286"/>
      <c r="O453" s="286"/>
      <c r="P453" s="287"/>
      <c r="Q453" s="277"/>
      <c r="R453" s="277"/>
      <c r="S453" s="277"/>
      <c r="T453" s="277"/>
      <c r="U453" s="277"/>
      <c r="V453" s="277"/>
    </row>
    <row r="454" spans="1:22" s="278" customFormat="1">
      <c r="A454" s="252"/>
      <c r="B454" s="37"/>
      <c r="C454" s="253" t="s">
        <v>422</v>
      </c>
      <c r="D454" s="267"/>
      <c r="E454" s="262"/>
      <c r="F454" s="262"/>
      <c r="G454" s="262"/>
      <c r="H454" s="382">
        <v>1</v>
      </c>
      <c r="I454" s="257">
        <f>PRODUCT(E454:H454)</f>
        <v>1</v>
      </c>
      <c r="J454" s="244"/>
      <c r="K454" s="258"/>
      <c r="L454" s="258"/>
      <c r="M454" s="286"/>
      <c r="N454" s="286"/>
      <c r="O454" s="286"/>
      <c r="P454" s="287"/>
      <c r="Q454" s="277"/>
      <c r="R454" s="277"/>
      <c r="S454" s="277"/>
      <c r="T454" s="277"/>
      <c r="U454" s="277"/>
      <c r="V454" s="277"/>
    </row>
    <row r="455" spans="1:22" s="278" customFormat="1">
      <c r="A455" s="252"/>
      <c r="B455" s="37"/>
      <c r="C455" s="253"/>
      <c r="D455" s="267"/>
      <c r="E455" s="257"/>
      <c r="F455" s="257"/>
      <c r="G455" s="257"/>
      <c r="H455" s="383"/>
      <c r="I455" s="262"/>
      <c r="J455" s="244"/>
      <c r="K455" s="258"/>
      <c r="L455" s="258"/>
      <c r="M455" s="286"/>
      <c r="N455" s="286"/>
      <c r="O455" s="286"/>
      <c r="P455" s="287"/>
      <c r="Q455" s="277"/>
      <c r="R455" s="277"/>
      <c r="S455" s="277"/>
      <c r="T455" s="277"/>
      <c r="U455" s="277"/>
      <c r="V455" s="277"/>
    </row>
    <row r="456" spans="1:22" s="278" customFormat="1">
      <c r="A456" s="252"/>
      <c r="B456" s="37"/>
      <c r="C456" s="38"/>
      <c r="D456" s="39"/>
      <c r="E456" s="257"/>
      <c r="F456" s="257"/>
      <c r="G456" s="257"/>
      <c r="H456" s="263" t="s">
        <v>253</v>
      </c>
      <c r="I456" s="380">
        <f>SUM(I453:I455)</f>
        <v>2</v>
      </c>
      <c r="J456" s="244"/>
      <c r="K456" s="258"/>
      <c r="L456" s="258"/>
      <c r="M456" s="286"/>
      <c r="N456" s="286"/>
      <c r="O456" s="286"/>
      <c r="P456" s="287"/>
      <c r="Q456" s="277"/>
      <c r="R456" s="277"/>
      <c r="S456" s="277"/>
      <c r="T456" s="277"/>
      <c r="U456" s="277"/>
      <c r="V456" s="277"/>
    </row>
    <row r="457" spans="1:22" s="278" customFormat="1">
      <c r="A457" s="376" t="s">
        <v>151</v>
      </c>
      <c r="B457" s="376"/>
      <c r="C457" s="340" t="s">
        <v>152</v>
      </c>
      <c r="D457" s="39"/>
      <c r="E457" s="257"/>
      <c r="F457" s="257"/>
      <c r="G457" s="257"/>
      <c r="H457" s="257"/>
      <c r="I457" s="257"/>
      <c r="J457" s="244"/>
      <c r="K457" s="258"/>
      <c r="L457" s="258"/>
      <c r="M457" s="286"/>
      <c r="N457" s="286"/>
      <c r="O457" s="286"/>
      <c r="P457" s="287"/>
      <c r="Q457" s="277"/>
      <c r="R457" s="277"/>
      <c r="S457" s="277"/>
      <c r="T457" s="277"/>
      <c r="U457" s="277"/>
      <c r="V457" s="277"/>
    </row>
    <row r="458" spans="1:22">
      <c r="A458" s="252"/>
      <c r="B458" s="37"/>
      <c r="C458" s="279"/>
      <c r="D458" s="279"/>
      <c r="E458" s="279"/>
      <c r="F458" s="279"/>
      <c r="G458" s="279"/>
      <c r="H458" s="384"/>
      <c r="I458" s="384"/>
      <c r="J458" s="244"/>
      <c r="K458" s="258"/>
      <c r="L458" s="258"/>
      <c r="M458" s="258"/>
      <c r="N458" s="258"/>
      <c r="O458" s="258"/>
      <c r="P458" s="259"/>
      <c r="Q458" s="247"/>
      <c r="R458" s="247"/>
      <c r="S458" s="247"/>
      <c r="T458" s="247"/>
      <c r="U458" s="247"/>
      <c r="V458" s="247"/>
    </row>
    <row r="459" spans="1:22" s="278" customFormat="1" ht="38.25">
      <c r="A459" s="252" t="s">
        <v>153</v>
      </c>
      <c r="B459" s="37">
        <v>91931</v>
      </c>
      <c r="C459" s="38" t="str">
        <f>VLOOKUP($B459,SINAPI!$C$6:J6550,2,0)</f>
        <v>CABO DE COBRE FLEXÍVEL ISOLADO, 6 MM², ANTI-CHAMA 0,6/1,0 KV, PARA CIRCUITOS TERMINAIS - FORNECIMENTO E INSTALAÇÃO. AF_12/2015</v>
      </c>
      <c r="D459" s="39" t="str">
        <f>VLOOKUP($B459,SINAPI!$C$6:K6550,3,0)</f>
        <v>M</v>
      </c>
      <c r="E459" s="257"/>
      <c r="F459" s="257"/>
      <c r="G459" s="257"/>
      <c r="H459" s="257"/>
      <c r="I459" s="250">
        <f>I465</f>
        <v>36.800000000000004</v>
      </c>
      <c r="J459" s="244"/>
      <c r="K459" s="245">
        <f>VLOOKUP($B459,SINAPI!$C$6:R6550,4,0)</f>
        <v>8.44</v>
      </c>
      <c r="L459" s="245"/>
      <c r="M459" s="275"/>
      <c r="N459" s="275"/>
      <c r="O459" s="275"/>
      <c r="P459" s="276">
        <f>SUM(K459:O459)</f>
        <v>8.44</v>
      </c>
      <c r="Q459" s="277"/>
      <c r="R459" s="277"/>
      <c r="S459" s="277"/>
      <c r="T459" s="277"/>
      <c r="U459" s="277"/>
      <c r="V459" s="277"/>
    </row>
    <row r="460" spans="1:22">
      <c r="A460" s="252"/>
      <c r="B460" s="381"/>
      <c r="C460" s="384"/>
      <c r="D460" s="384"/>
      <c r="E460" s="279"/>
      <c r="F460" s="279"/>
      <c r="G460" s="279"/>
      <c r="H460" s="384"/>
      <c r="I460" s="384"/>
      <c r="J460" s="244"/>
      <c r="K460" s="258"/>
      <c r="L460" s="258"/>
      <c r="M460" s="258"/>
      <c r="N460" s="258"/>
      <c r="O460" s="258"/>
      <c r="P460" s="259"/>
      <c r="Q460" s="247"/>
      <c r="R460" s="247"/>
      <c r="S460" s="247"/>
      <c r="T460" s="247"/>
      <c r="U460" s="247"/>
      <c r="V460" s="247"/>
    </row>
    <row r="461" spans="1:22">
      <c r="A461" s="252"/>
      <c r="B461" s="381"/>
      <c r="C461" s="253" t="s">
        <v>421</v>
      </c>
      <c r="D461" s="384"/>
      <c r="E461" s="250">
        <f>1.1+5.7+1.1+0.5+0.8</f>
        <v>9.2000000000000011</v>
      </c>
      <c r="F461" s="250"/>
      <c r="G461" s="250"/>
      <c r="H461" s="251">
        <v>2</v>
      </c>
      <c r="I461" s="262">
        <f>PRODUCT(E461:H461)</f>
        <v>18.400000000000002</v>
      </c>
      <c r="J461" s="244"/>
      <c r="K461" s="258"/>
      <c r="L461" s="258"/>
      <c r="M461" s="258"/>
      <c r="N461" s="258"/>
      <c r="O461" s="258"/>
      <c r="P461" s="259"/>
      <c r="Q461" s="247"/>
      <c r="R461" s="247"/>
      <c r="S461" s="247"/>
      <c r="T461" s="247"/>
      <c r="U461" s="247"/>
      <c r="V461" s="247"/>
    </row>
    <row r="462" spans="1:22">
      <c r="A462" s="252"/>
      <c r="B462" s="381"/>
      <c r="C462" s="253" t="s">
        <v>422</v>
      </c>
      <c r="D462" s="384"/>
      <c r="E462" s="250">
        <f>1.1+5.7+1.1+0.5+0.8</f>
        <v>9.2000000000000011</v>
      </c>
      <c r="F462" s="250"/>
      <c r="G462" s="250"/>
      <c r="H462" s="251">
        <v>2</v>
      </c>
      <c r="I462" s="268">
        <f>PRODUCT(E462:H462)</f>
        <v>18.400000000000002</v>
      </c>
      <c r="J462" s="244"/>
      <c r="K462" s="258"/>
      <c r="L462" s="258"/>
      <c r="M462" s="258"/>
      <c r="N462" s="258"/>
      <c r="O462" s="258"/>
      <c r="P462" s="259"/>
      <c r="Q462" s="247"/>
      <c r="R462" s="247"/>
      <c r="S462" s="247"/>
      <c r="T462" s="247"/>
      <c r="U462" s="247"/>
      <c r="V462" s="247"/>
    </row>
    <row r="463" spans="1:22">
      <c r="A463" s="252"/>
      <c r="B463" s="381"/>
      <c r="C463" s="253" t="s">
        <v>423</v>
      </c>
      <c r="D463" s="267"/>
      <c r="E463" s="257">
        <v>9.1999999999999993</v>
      </c>
      <c r="F463" s="257"/>
      <c r="G463" s="257"/>
      <c r="H463" s="382">
        <v>3</v>
      </c>
      <c r="I463" s="257">
        <f>PRODUCT(E463:H463)</f>
        <v>27.599999999999998</v>
      </c>
      <c r="J463" s="244"/>
      <c r="K463" s="258"/>
      <c r="L463" s="258"/>
      <c r="M463" s="258"/>
      <c r="N463" s="258"/>
      <c r="O463" s="258"/>
      <c r="P463" s="259"/>
      <c r="Q463" s="247"/>
      <c r="R463" s="247"/>
      <c r="S463" s="247"/>
      <c r="T463" s="247"/>
      <c r="U463" s="247"/>
      <c r="V463" s="247"/>
    </row>
    <row r="464" spans="1:22">
      <c r="A464" s="252"/>
      <c r="B464" s="381"/>
      <c r="C464" s="384"/>
      <c r="D464" s="384"/>
      <c r="E464" s="250"/>
      <c r="F464" s="250"/>
      <c r="G464" s="250"/>
      <c r="H464" s="383"/>
      <c r="I464" s="262"/>
      <c r="J464" s="244"/>
      <c r="K464" s="258"/>
      <c r="L464" s="258"/>
      <c r="M464" s="258"/>
      <c r="N464" s="258"/>
      <c r="O464" s="258"/>
      <c r="P464" s="259"/>
      <c r="Q464" s="247"/>
      <c r="R464" s="247"/>
      <c r="S464" s="247"/>
      <c r="T464" s="247"/>
      <c r="U464" s="247"/>
      <c r="V464" s="247"/>
    </row>
    <row r="465" spans="1:22">
      <c r="A465" s="252"/>
      <c r="B465" s="381"/>
      <c r="C465" s="384"/>
      <c r="D465" s="384"/>
      <c r="E465" s="279"/>
      <c r="F465" s="279"/>
      <c r="G465" s="279"/>
      <c r="H465" s="263" t="s">
        <v>253</v>
      </c>
      <c r="I465" s="380">
        <f>SUM(I461:I462)</f>
        <v>36.800000000000004</v>
      </c>
      <c r="J465" s="244"/>
      <c r="K465" s="258"/>
      <c r="L465" s="258"/>
      <c r="M465" s="258"/>
      <c r="N465" s="258"/>
      <c r="O465" s="258"/>
      <c r="P465" s="259"/>
      <c r="Q465" s="247"/>
      <c r="R465" s="247"/>
      <c r="S465" s="247"/>
      <c r="T465" s="247"/>
      <c r="U465" s="247"/>
      <c r="V465" s="247"/>
    </row>
    <row r="466" spans="1:22">
      <c r="A466" s="252"/>
      <c r="B466" s="381"/>
      <c r="C466" s="384"/>
      <c r="D466" s="384"/>
      <c r="E466" s="279"/>
      <c r="F466" s="279"/>
      <c r="G466" s="279"/>
      <c r="H466" s="384"/>
      <c r="I466" s="384"/>
      <c r="J466" s="244"/>
      <c r="K466" s="258"/>
      <c r="L466" s="258"/>
      <c r="M466" s="258"/>
      <c r="N466" s="258"/>
      <c r="O466" s="258"/>
      <c r="P466" s="259"/>
      <c r="Q466" s="247"/>
      <c r="R466" s="247"/>
      <c r="S466" s="247"/>
      <c r="T466" s="247"/>
      <c r="U466" s="247"/>
      <c r="V466" s="247"/>
    </row>
    <row r="467" spans="1:22" s="278" customFormat="1" ht="38.25">
      <c r="A467" s="252" t="s">
        <v>155</v>
      </c>
      <c r="B467" s="37">
        <v>91927</v>
      </c>
      <c r="C467" s="38" t="str">
        <f>VLOOKUP($B467,SINAPI!$C$6:J6558,2,0)</f>
        <v>CABO DE COBRE FLEXÍVEL ISOLADO, 2,5 MM², ANTI-CHAMA 0,6/1,0 KV, PARA CIRCUITOS TERMINAIS - FORNECIMENTO E INSTALAÇÃO. AF_12/2015</v>
      </c>
      <c r="D467" s="39" t="str">
        <f>VLOOKUP($B467,SINAPI!$C$6:K6558,3,0)</f>
        <v>M</v>
      </c>
      <c r="E467" s="257"/>
      <c r="F467" s="257"/>
      <c r="G467" s="257"/>
      <c r="H467" s="257"/>
      <c r="I467" s="250">
        <f>I473</f>
        <v>540</v>
      </c>
      <c r="J467" s="244"/>
      <c r="K467" s="245">
        <f>VLOOKUP($B467,SINAPI!$C$6:R6558,4,0)</f>
        <v>4</v>
      </c>
      <c r="L467" s="245"/>
      <c r="M467" s="275"/>
      <c r="N467" s="275"/>
      <c r="O467" s="275"/>
      <c r="P467" s="276">
        <f>SUM(K467:O467)</f>
        <v>4</v>
      </c>
      <c r="Q467" s="277"/>
      <c r="R467" s="277"/>
      <c r="S467" s="277"/>
      <c r="T467" s="277"/>
      <c r="U467" s="277"/>
      <c r="V467" s="277"/>
    </row>
    <row r="468" spans="1:22" s="278" customFormat="1">
      <c r="A468" s="252"/>
      <c r="B468" s="37"/>
      <c r="C468" s="38"/>
      <c r="D468" s="39"/>
      <c r="E468" s="257"/>
      <c r="F468" s="257"/>
      <c r="G468" s="257"/>
      <c r="H468" s="257"/>
      <c r="I468" s="384"/>
      <c r="J468" s="244"/>
      <c r="K468" s="258"/>
      <c r="L468" s="258"/>
      <c r="M468" s="286"/>
      <c r="N468" s="286"/>
      <c r="O468" s="286"/>
      <c r="P468" s="287"/>
      <c r="Q468" s="277"/>
      <c r="R468" s="277"/>
      <c r="S468" s="277"/>
      <c r="T468" s="277"/>
      <c r="U468" s="277"/>
      <c r="V468" s="277"/>
    </row>
    <row r="469" spans="1:22" s="278" customFormat="1">
      <c r="A469" s="252"/>
      <c r="B469" s="37"/>
      <c r="C469" s="253" t="s">
        <v>421</v>
      </c>
      <c r="D469" s="350"/>
      <c r="E469" s="250">
        <f>E443+E444+E427+E409</f>
        <v>58.3</v>
      </c>
      <c r="F469" s="250"/>
      <c r="G469" s="250"/>
      <c r="H469" s="382">
        <v>3</v>
      </c>
      <c r="I469" s="262">
        <f>PRODUCT(E469:H469)</f>
        <v>174.89999999999998</v>
      </c>
      <c r="J469" s="244"/>
      <c r="K469" s="258"/>
      <c r="L469" s="258"/>
      <c r="M469" s="286"/>
      <c r="N469" s="286"/>
      <c r="O469" s="286"/>
      <c r="P469" s="287"/>
      <c r="Q469" s="277"/>
      <c r="R469" s="277"/>
      <c r="S469" s="277"/>
      <c r="T469" s="277"/>
      <c r="U469" s="277"/>
      <c r="V469" s="277"/>
    </row>
    <row r="470" spans="1:22" s="278" customFormat="1">
      <c r="A470" s="252"/>
      <c r="B470" s="37"/>
      <c r="C470" s="253" t="s">
        <v>422</v>
      </c>
      <c r="D470" s="350"/>
      <c r="E470" s="250">
        <f>E445+E446+E428+E410</f>
        <v>53.6</v>
      </c>
      <c r="F470" s="250"/>
      <c r="G470" s="250"/>
      <c r="H470" s="382">
        <v>3</v>
      </c>
      <c r="I470" s="268">
        <f>PRODUCT(E470:H470)</f>
        <v>160.80000000000001</v>
      </c>
      <c r="J470" s="244"/>
      <c r="K470" s="258"/>
      <c r="L470" s="258"/>
      <c r="M470" s="286"/>
      <c r="N470" s="286"/>
      <c r="O470" s="286"/>
      <c r="P470" s="287"/>
      <c r="Q470" s="277"/>
      <c r="R470" s="277"/>
      <c r="S470" s="277"/>
      <c r="T470" s="277"/>
      <c r="U470" s="277"/>
      <c r="V470" s="277"/>
    </row>
    <row r="471" spans="1:22" s="278" customFormat="1">
      <c r="A471" s="252"/>
      <c r="B471" s="37"/>
      <c r="C471" s="253" t="s">
        <v>423</v>
      </c>
      <c r="D471" s="350"/>
      <c r="E471" s="257">
        <f>11.42+(2.82*4)</f>
        <v>22.7</v>
      </c>
      <c r="F471" s="250"/>
      <c r="G471" s="262">
        <v>3</v>
      </c>
      <c r="H471" s="382">
        <v>3</v>
      </c>
      <c r="I471" s="257">
        <f>PRODUCT(E471:H471)</f>
        <v>204.29999999999998</v>
      </c>
      <c r="J471" s="244"/>
      <c r="K471" s="258"/>
      <c r="L471" s="258"/>
      <c r="M471" s="286"/>
      <c r="N471" s="286"/>
      <c r="O471" s="286"/>
      <c r="P471" s="287"/>
      <c r="Q471" s="277"/>
      <c r="R471" s="277"/>
      <c r="S471" s="277"/>
      <c r="T471" s="277"/>
      <c r="U471" s="277"/>
      <c r="V471" s="277"/>
    </row>
    <row r="472" spans="1:22" s="278" customFormat="1">
      <c r="A472" s="252"/>
      <c r="B472" s="37"/>
      <c r="C472" s="384"/>
      <c r="D472" s="350"/>
      <c r="E472" s="250"/>
      <c r="F472" s="250"/>
      <c r="G472" s="250"/>
      <c r="H472" s="383"/>
      <c r="I472" s="262"/>
      <c r="J472" s="244"/>
      <c r="K472" s="258"/>
      <c r="L472" s="258"/>
      <c r="M472" s="286"/>
      <c r="N472" s="286"/>
      <c r="O472" s="286"/>
      <c r="P472" s="287"/>
      <c r="Q472" s="277"/>
      <c r="R472" s="277"/>
      <c r="S472" s="277"/>
      <c r="T472" s="277"/>
      <c r="U472" s="277"/>
      <c r="V472" s="277"/>
    </row>
    <row r="473" spans="1:22" s="278" customFormat="1">
      <c r="A473" s="252"/>
      <c r="B473" s="37"/>
      <c r="C473" s="38"/>
      <c r="D473" s="39"/>
      <c r="E473" s="257"/>
      <c r="F473" s="257"/>
      <c r="G473" s="257"/>
      <c r="H473" s="263" t="s">
        <v>253</v>
      </c>
      <c r="I473" s="380">
        <f>SUM(I469:I472)</f>
        <v>540</v>
      </c>
      <c r="J473" s="244"/>
      <c r="K473" s="258"/>
      <c r="L473" s="258"/>
      <c r="M473" s="286"/>
      <c r="N473" s="286"/>
      <c r="O473" s="286"/>
      <c r="P473" s="287"/>
      <c r="Q473" s="277"/>
      <c r="R473" s="277"/>
      <c r="S473" s="277"/>
      <c r="T473" s="277"/>
      <c r="U473" s="277"/>
      <c r="V473" s="277"/>
    </row>
    <row r="474" spans="1:22" s="278" customFormat="1">
      <c r="A474" s="252"/>
      <c r="B474" s="37"/>
      <c r="C474" s="279"/>
      <c r="D474" s="279"/>
      <c r="E474" s="279"/>
      <c r="F474" s="279"/>
      <c r="G474" s="279"/>
      <c r="H474" s="384"/>
      <c r="I474" s="384"/>
      <c r="J474" s="244"/>
      <c r="K474" s="258"/>
      <c r="L474" s="258"/>
      <c r="M474" s="286"/>
      <c r="N474" s="286"/>
      <c r="O474" s="286"/>
      <c r="P474" s="287"/>
      <c r="Q474" s="277"/>
      <c r="R474" s="277"/>
      <c r="S474" s="277"/>
      <c r="T474" s="277"/>
      <c r="U474" s="277"/>
      <c r="V474" s="277"/>
    </row>
    <row r="475" spans="1:22" s="278" customFormat="1">
      <c r="A475" s="252" t="s">
        <v>157</v>
      </c>
      <c r="B475" s="37">
        <v>68069</v>
      </c>
      <c r="C475" s="38" t="str">
        <f>VLOOKUP($B475,SINAPI!$C$6:J6566,2,0)</f>
        <v>HASTE COPPERWELD 5/8 X 3,0M COM CONECTOR</v>
      </c>
      <c r="D475" s="39" t="str">
        <f>VLOOKUP($B475,SINAPI!$C$6:K6566,3,0)</f>
        <v>UN</v>
      </c>
      <c r="E475" s="257"/>
      <c r="F475" s="257"/>
      <c r="G475" s="257"/>
      <c r="H475" s="257"/>
      <c r="I475" s="250">
        <f>I481</f>
        <v>5</v>
      </c>
      <c r="J475" s="244"/>
      <c r="K475" s="245">
        <f>VLOOKUP($B475,SINAPI!$C$6:R6566,4,0)</f>
        <v>41.76</v>
      </c>
      <c r="L475" s="245"/>
      <c r="M475" s="275"/>
      <c r="N475" s="275"/>
      <c r="O475" s="275"/>
      <c r="P475" s="276">
        <f>SUM(K475:O475)</f>
        <v>41.76</v>
      </c>
      <c r="Q475" s="277"/>
      <c r="R475" s="277"/>
      <c r="S475" s="277"/>
      <c r="T475" s="277"/>
      <c r="U475" s="277"/>
      <c r="V475" s="277"/>
    </row>
    <row r="476" spans="1:22" s="278" customFormat="1">
      <c r="A476" s="252"/>
      <c r="B476" s="37"/>
      <c r="C476" s="38"/>
      <c r="D476" s="39"/>
      <c r="E476" s="257"/>
      <c r="F476" s="257"/>
      <c r="G476" s="257"/>
      <c r="H476" s="257"/>
      <c r="I476" s="384"/>
      <c r="J476" s="244"/>
      <c r="K476" s="258"/>
      <c r="L476" s="258"/>
      <c r="M476" s="286"/>
      <c r="N476" s="286"/>
      <c r="O476" s="286"/>
      <c r="P476" s="287"/>
      <c r="Q476" s="277"/>
      <c r="R476" s="277"/>
      <c r="S476" s="277"/>
      <c r="T476" s="277"/>
      <c r="U476" s="277"/>
      <c r="V476" s="277"/>
    </row>
    <row r="477" spans="1:22" s="278" customFormat="1">
      <c r="A477" s="252"/>
      <c r="B477" s="37"/>
      <c r="C477" s="253" t="s">
        <v>421</v>
      </c>
      <c r="D477" s="350"/>
      <c r="E477" s="250"/>
      <c r="F477" s="250"/>
      <c r="G477" s="250"/>
      <c r="H477" s="251">
        <v>1</v>
      </c>
      <c r="I477" s="257">
        <f>PRODUCT(E477:H477)</f>
        <v>1</v>
      </c>
      <c r="J477" s="244"/>
      <c r="K477" s="258"/>
      <c r="L477" s="258"/>
      <c r="M477" s="286"/>
      <c r="N477" s="286"/>
      <c r="O477" s="286"/>
      <c r="P477" s="287"/>
      <c r="Q477" s="277"/>
      <c r="R477" s="277"/>
      <c r="S477" s="277"/>
      <c r="T477" s="277"/>
      <c r="U477" s="277"/>
      <c r="V477" s="277"/>
    </row>
    <row r="478" spans="1:22" s="278" customFormat="1">
      <c r="A478" s="252"/>
      <c r="B478" s="37"/>
      <c r="C478" s="253" t="s">
        <v>422</v>
      </c>
      <c r="D478" s="350"/>
      <c r="E478" s="250"/>
      <c r="F478" s="250"/>
      <c r="G478" s="250"/>
      <c r="H478" s="251">
        <v>1</v>
      </c>
      <c r="I478" s="257">
        <f>PRODUCT(E478:H478)</f>
        <v>1</v>
      </c>
      <c r="J478" s="244"/>
      <c r="K478" s="258"/>
      <c r="L478" s="258"/>
      <c r="M478" s="286"/>
      <c r="N478" s="286"/>
      <c r="O478" s="286"/>
      <c r="P478" s="287"/>
      <c r="Q478" s="277"/>
      <c r="R478" s="277"/>
      <c r="S478" s="277"/>
      <c r="T478" s="277"/>
      <c r="U478" s="277"/>
      <c r="V478" s="277"/>
    </row>
    <row r="479" spans="1:22" s="278" customFormat="1">
      <c r="A479" s="252"/>
      <c r="B479" s="37"/>
      <c r="C479" s="362" t="s">
        <v>351</v>
      </c>
      <c r="D479" s="350"/>
      <c r="E479" s="250"/>
      <c r="F479" s="250"/>
      <c r="G479" s="250"/>
      <c r="H479" s="251">
        <v>3</v>
      </c>
      <c r="I479" s="257">
        <f>PRODUCT(E479:H479)</f>
        <v>3</v>
      </c>
      <c r="J479" s="244"/>
      <c r="K479" s="258"/>
      <c r="L479" s="258"/>
      <c r="M479" s="286"/>
      <c r="N479" s="286"/>
      <c r="O479" s="286"/>
      <c r="P479" s="287"/>
      <c r="Q479" s="277"/>
      <c r="R479" s="277"/>
      <c r="S479" s="277"/>
      <c r="T479" s="277"/>
      <c r="U479" s="277"/>
      <c r="V479" s="277"/>
    </row>
    <row r="480" spans="1:22" s="278" customFormat="1">
      <c r="A480" s="252"/>
      <c r="B480" s="37"/>
      <c r="C480" s="384"/>
      <c r="D480" s="350"/>
      <c r="E480" s="250"/>
      <c r="F480" s="250"/>
      <c r="G480" s="250"/>
      <c r="H480" s="388"/>
      <c r="I480" s="262"/>
      <c r="J480" s="244"/>
      <c r="K480" s="258"/>
      <c r="L480" s="258"/>
      <c r="M480" s="286"/>
      <c r="N480" s="286"/>
      <c r="O480" s="286"/>
      <c r="P480" s="287"/>
      <c r="Q480" s="277"/>
      <c r="R480" s="277"/>
      <c r="S480" s="277"/>
      <c r="T480" s="277"/>
      <c r="U480" s="277"/>
      <c r="V480" s="277"/>
    </row>
    <row r="481" spans="1:22" s="278" customFormat="1">
      <c r="A481" s="252"/>
      <c r="B481" s="37"/>
      <c r="C481" s="38"/>
      <c r="D481" s="39"/>
      <c r="E481" s="257"/>
      <c r="F481" s="257"/>
      <c r="G481" s="257"/>
      <c r="H481" s="263" t="s">
        <v>253</v>
      </c>
      <c r="I481" s="380">
        <f>SUM(I477:I480)</f>
        <v>5</v>
      </c>
      <c r="J481" s="244"/>
      <c r="K481" s="258"/>
      <c r="L481" s="258"/>
      <c r="M481" s="286"/>
      <c r="N481" s="286"/>
      <c r="O481" s="286"/>
      <c r="P481" s="287"/>
      <c r="Q481" s="277"/>
      <c r="R481" s="277"/>
      <c r="S481" s="277"/>
      <c r="T481" s="277"/>
      <c r="U481" s="277"/>
      <c r="V481" s="277"/>
    </row>
    <row r="482" spans="1:22" s="278" customFormat="1">
      <c r="A482" s="252"/>
      <c r="B482" s="37"/>
      <c r="C482" s="279"/>
      <c r="D482" s="279"/>
      <c r="E482" s="279"/>
      <c r="F482" s="279"/>
      <c r="G482" s="279"/>
      <c r="H482" s="384"/>
      <c r="I482" s="384"/>
      <c r="J482" s="244"/>
      <c r="K482" s="258"/>
      <c r="L482" s="258"/>
      <c r="M482" s="286"/>
      <c r="N482" s="286"/>
      <c r="O482" s="286"/>
      <c r="P482" s="287"/>
      <c r="Q482" s="277"/>
      <c r="R482" s="277"/>
      <c r="S482" s="277"/>
      <c r="T482" s="277"/>
      <c r="U482" s="277"/>
      <c r="V482" s="277"/>
    </row>
    <row r="483" spans="1:22" s="278" customFormat="1">
      <c r="A483" s="376" t="s">
        <v>159</v>
      </c>
      <c r="B483" s="376"/>
      <c r="C483" s="340" t="s">
        <v>318</v>
      </c>
      <c r="D483" s="39"/>
      <c r="E483" s="257"/>
      <c r="F483" s="257"/>
      <c r="G483" s="257"/>
      <c r="H483" s="257"/>
      <c r="I483" s="257"/>
      <c r="J483" s="244"/>
      <c r="K483" s="258"/>
      <c r="L483" s="258"/>
      <c r="M483" s="286"/>
      <c r="N483" s="286"/>
      <c r="O483" s="286"/>
      <c r="P483" s="287"/>
      <c r="Q483" s="277"/>
      <c r="R483" s="277"/>
      <c r="S483" s="277"/>
      <c r="T483" s="277"/>
      <c r="U483" s="277"/>
      <c r="V483" s="277"/>
    </row>
    <row r="484" spans="1:22" s="278" customFormat="1" ht="38.25">
      <c r="A484" s="252" t="s">
        <v>161</v>
      </c>
      <c r="B484" s="37" t="s">
        <v>162</v>
      </c>
      <c r="C484" s="38" t="str">
        <f>VLOOKUP($B484,SINAPI!$C$6:J6408,2,0)</f>
        <v>POSTE DE CONCRETO DUPLO T, 100 KG, H = 8 M (NBR 8451)INCLUSIVE ESCAVACAO, EXCLUSIVE TRANSPORTE - FORNECIMENTO E INSTALAÇÃO</v>
      </c>
      <c r="D484" s="39" t="str">
        <f>VLOOKUP($B484,SINAPI!$C$6:K6408,3,0)</f>
        <v>UN</v>
      </c>
      <c r="E484" s="257"/>
      <c r="F484" s="257"/>
      <c r="G484" s="257"/>
      <c r="H484" s="257"/>
      <c r="I484" s="250">
        <f>I489</f>
        <v>2</v>
      </c>
      <c r="J484" s="244"/>
      <c r="K484" s="245">
        <f>VLOOKUP($B484,SINAPI!$C$6:R6408,4,0)</f>
        <v>544.46872499999995</v>
      </c>
      <c r="L484" s="245"/>
      <c r="M484" s="275"/>
      <c r="N484" s="275"/>
      <c r="O484" s="275"/>
      <c r="P484" s="276">
        <f>SUM(K484:O484)</f>
        <v>544.46872499999995</v>
      </c>
      <c r="Q484" s="277"/>
      <c r="R484" s="277"/>
      <c r="S484" s="277"/>
      <c r="T484" s="277"/>
      <c r="U484" s="277"/>
      <c r="V484" s="277"/>
    </row>
    <row r="485" spans="1:22" s="278" customFormat="1">
      <c r="A485" s="252"/>
      <c r="B485" s="37"/>
      <c r="C485" s="38"/>
      <c r="D485" s="39"/>
      <c r="E485" s="257"/>
      <c r="F485" s="257"/>
      <c r="G485" s="257"/>
      <c r="H485" s="257"/>
      <c r="I485" s="250"/>
      <c r="J485" s="244"/>
      <c r="K485" s="258"/>
      <c r="L485" s="258"/>
      <c r="M485" s="286"/>
      <c r="N485" s="286"/>
      <c r="O485" s="286"/>
      <c r="P485" s="287"/>
      <c r="Q485" s="277"/>
      <c r="R485" s="277"/>
      <c r="S485" s="277"/>
      <c r="T485" s="277"/>
      <c r="U485" s="277"/>
      <c r="V485" s="277"/>
    </row>
    <row r="486" spans="1:22" s="278" customFormat="1">
      <c r="A486" s="252"/>
      <c r="B486" s="37"/>
      <c r="C486" s="253" t="s">
        <v>421</v>
      </c>
      <c r="D486" s="350"/>
      <c r="E486" s="268"/>
      <c r="F486" s="268"/>
      <c r="G486" s="268"/>
      <c r="H486" s="389">
        <v>1</v>
      </c>
      <c r="I486" s="257">
        <f>PRODUCT(E486:H486)</f>
        <v>1</v>
      </c>
      <c r="J486" s="244"/>
      <c r="K486" s="258"/>
      <c r="L486" s="258"/>
      <c r="M486" s="286"/>
      <c r="N486" s="286"/>
      <c r="O486" s="286"/>
      <c r="P486" s="287"/>
      <c r="Q486" s="277"/>
      <c r="R486" s="277"/>
      <c r="S486" s="277"/>
      <c r="T486" s="277"/>
      <c r="U486" s="277"/>
      <c r="V486" s="277"/>
    </row>
    <row r="487" spans="1:22" s="278" customFormat="1">
      <c r="A487" s="252"/>
      <c r="B487" s="37"/>
      <c r="C487" s="253" t="s">
        <v>422</v>
      </c>
      <c r="D487" s="350"/>
      <c r="E487" s="268"/>
      <c r="F487" s="268"/>
      <c r="G487" s="268"/>
      <c r="H487" s="389">
        <v>1</v>
      </c>
      <c r="I487" s="257">
        <f>PRODUCT(E487:H487)</f>
        <v>1</v>
      </c>
      <c r="J487" s="244"/>
      <c r="K487" s="258"/>
      <c r="L487" s="258"/>
      <c r="M487" s="286"/>
      <c r="N487" s="286"/>
      <c r="O487" s="286"/>
      <c r="P487" s="287"/>
      <c r="Q487" s="277"/>
      <c r="R487" s="277"/>
      <c r="S487" s="277"/>
      <c r="T487" s="277"/>
      <c r="U487" s="277"/>
      <c r="V487" s="277"/>
    </row>
    <row r="488" spans="1:22" s="278" customFormat="1">
      <c r="A488" s="252"/>
      <c r="B488" s="37"/>
      <c r="C488" s="253"/>
      <c r="D488" s="350"/>
      <c r="E488" s="268"/>
      <c r="F488" s="268"/>
      <c r="G488" s="268"/>
      <c r="H488" s="390"/>
      <c r="I488" s="312"/>
      <c r="J488" s="244"/>
      <c r="K488" s="258"/>
      <c r="L488" s="258"/>
      <c r="M488" s="286"/>
      <c r="N488" s="286"/>
      <c r="O488" s="286"/>
      <c r="P488" s="287"/>
      <c r="Q488" s="277"/>
      <c r="R488" s="277"/>
      <c r="S488" s="277"/>
      <c r="T488" s="277"/>
      <c r="U488" s="277"/>
      <c r="V488" s="277"/>
    </row>
    <row r="489" spans="1:22">
      <c r="A489" s="252"/>
      <c r="B489" s="37"/>
      <c r="C489" s="38"/>
      <c r="D489" s="39"/>
      <c r="E489" s="257"/>
      <c r="F489" s="257"/>
      <c r="G489" s="257"/>
      <c r="H489" s="263" t="s">
        <v>253</v>
      </c>
      <c r="I489" s="264">
        <f>SUM(I486:I488)</f>
        <v>2</v>
      </c>
      <c r="J489" s="244"/>
      <c r="K489" s="258"/>
      <c r="L489" s="258"/>
      <c r="M489" s="258"/>
      <c r="N489" s="258"/>
      <c r="O489" s="258"/>
      <c r="P489" s="259"/>
      <c r="Q489" s="247"/>
      <c r="R489" s="247"/>
      <c r="S489" s="247"/>
      <c r="T489" s="247"/>
      <c r="U489" s="247"/>
      <c r="V489" s="247"/>
    </row>
    <row r="490" spans="1:22" s="278" customFormat="1">
      <c r="A490" s="252"/>
      <c r="B490" s="37"/>
      <c r="C490" s="38"/>
      <c r="D490" s="39"/>
      <c r="E490" s="257"/>
      <c r="F490" s="257"/>
      <c r="G490" s="257"/>
      <c r="H490" s="294"/>
      <c r="I490" s="306"/>
      <c r="J490" s="244"/>
      <c r="K490" s="258"/>
      <c r="L490" s="258"/>
      <c r="M490" s="286"/>
      <c r="N490" s="286"/>
      <c r="O490" s="286"/>
      <c r="P490" s="287"/>
      <c r="Q490" s="277"/>
      <c r="R490" s="277"/>
      <c r="S490" s="277"/>
      <c r="T490" s="277"/>
      <c r="U490" s="277"/>
      <c r="V490" s="277"/>
    </row>
    <row r="491" spans="1:22" s="278" customFormat="1" ht="38.25">
      <c r="A491" s="252" t="s">
        <v>163</v>
      </c>
      <c r="B491" s="37" t="s">
        <v>164</v>
      </c>
      <c r="C491" s="38" t="str">
        <f>VLOOKUP($B491,SINAPI!$C$6:J6416,2,0)</f>
        <v>POSTE DE ACO CONICO CONTINUO RETO, COM 04 PETALAS  E LÂMPADAS DE 250W, H=11M - FORNECIMENTO E INSTALACAO</v>
      </c>
      <c r="D491" s="39" t="str">
        <f>VLOOKUP($B491,SINAPI!$C$6:K6416,3,0)</f>
        <v>UN</v>
      </c>
      <c r="E491" s="257"/>
      <c r="F491" s="257"/>
      <c r="G491" s="257"/>
      <c r="H491" s="257"/>
      <c r="I491" s="250">
        <f>I497</f>
        <v>2</v>
      </c>
      <c r="J491" s="244"/>
      <c r="K491" s="245">
        <f>VLOOKUP($B491,SINAPI!$C$6:R6416,4,0)</f>
        <v>3896.9500000000007</v>
      </c>
      <c r="L491" s="245"/>
      <c r="M491" s="275"/>
      <c r="N491" s="275"/>
      <c r="O491" s="275"/>
      <c r="P491" s="276">
        <f>SUM(K491:O491)</f>
        <v>3896.9500000000007</v>
      </c>
      <c r="Q491" s="277"/>
      <c r="R491" s="277"/>
      <c r="S491" s="277"/>
      <c r="T491" s="277"/>
      <c r="U491" s="277"/>
      <c r="V491" s="277"/>
    </row>
    <row r="492" spans="1:22" s="278" customFormat="1">
      <c r="A492" s="252"/>
      <c r="B492" s="37"/>
      <c r="C492" s="38"/>
      <c r="D492" s="39"/>
      <c r="E492" s="257"/>
      <c r="F492" s="257"/>
      <c r="G492" s="257"/>
      <c r="H492" s="257"/>
      <c r="I492" s="250"/>
      <c r="J492" s="244"/>
      <c r="K492" s="258"/>
      <c r="L492" s="258"/>
      <c r="M492" s="286"/>
      <c r="N492" s="286"/>
      <c r="O492" s="286"/>
      <c r="P492" s="287"/>
      <c r="Q492" s="277"/>
      <c r="R492" s="277"/>
      <c r="S492" s="277"/>
      <c r="T492" s="277"/>
      <c r="U492" s="277"/>
      <c r="V492" s="277"/>
    </row>
    <row r="493" spans="1:22" s="278" customFormat="1">
      <c r="A493" s="370"/>
      <c r="B493" s="391"/>
      <c r="C493" s="253" t="s">
        <v>421</v>
      </c>
      <c r="D493" s="350"/>
      <c r="E493" s="268"/>
      <c r="F493" s="268"/>
      <c r="G493" s="268"/>
      <c r="H493" s="389">
        <v>1</v>
      </c>
      <c r="I493" s="257">
        <f>PRODUCT(E493:H493)</f>
        <v>1</v>
      </c>
      <c r="J493" s="373"/>
      <c r="K493" s="286"/>
      <c r="L493" s="286"/>
      <c r="M493" s="286"/>
      <c r="N493" s="286"/>
      <c r="O493" s="286"/>
      <c r="P493" s="287"/>
      <c r="Q493" s="277"/>
      <c r="R493" s="277"/>
      <c r="S493" s="277"/>
      <c r="T493" s="277"/>
      <c r="U493" s="277"/>
      <c r="V493" s="277"/>
    </row>
    <row r="494" spans="1:22" s="278" customFormat="1">
      <c r="A494" s="370"/>
      <c r="B494" s="391"/>
      <c r="C494" s="253" t="s">
        <v>422</v>
      </c>
      <c r="D494" s="350"/>
      <c r="E494" s="268"/>
      <c r="F494" s="268"/>
      <c r="G494" s="268"/>
      <c r="H494" s="389">
        <v>1</v>
      </c>
      <c r="I494" s="257">
        <f>PRODUCT(E494:H494)</f>
        <v>1</v>
      </c>
      <c r="J494" s="373"/>
      <c r="K494" s="286"/>
      <c r="L494" s="286"/>
      <c r="M494" s="286"/>
      <c r="N494" s="286"/>
      <c r="O494" s="286"/>
      <c r="P494" s="287"/>
      <c r="Q494" s="277"/>
      <c r="R494" s="277"/>
      <c r="S494" s="277"/>
      <c r="T494" s="277"/>
      <c r="U494" s="277"/>
      <c r="V494" s="277"/>
    </row>
    <row r="495" spans="1:22" s="278" customFormat="1">
      <c r="A495" s="370"/>
      <c r="B495" s="391"/>
      <c r="C495" s="253" t="s">
        <v>351</v>
      </c>
      <c r="D495" s="350"/>
      <c r="E495" s="268"/>
      <c r="F495" s="268"/>
      <c r="G495" s="392"/>
      <c r="H495" s="389">
        <v>3</v>
      </c>
      <c r="I495" s="257">
        <f>PRODUCT(E495:H495)</f>
        <v>3</v>
      </c>
      <c r="J495" s="373"/>
      <c r="K495" s="286"/>
      <c r="L495" s="286"/>
      <c r="M495" s="286"/>
      <c r="N495" s="286"/>
      <c r="O495" s="286"/>
      <c r="P495" s="287"/>
      <c r="Q495" s="277"/>
      <c r="R495" s="277"/>
      <c r="S495" s="277"/>
      <c r="T495" s="277"/>
      <c r="U495" s="277"/>
      <c r="V495" s="277"/>
    </row>
    <row r="496" spans="1:22" s="278" customFormat="1">
      <c r="A496" s="370"/>
      <c r="B496" s="391"/>
      <c r="C496" s="253"/>
      <c r="D496" s="350"/>
      <c r="E496" s="268"/>
      <c r="F496" s="268"/>
      <c r="G496" s="392"/>
      <c r="H496" s="389"/>
      <c r="I496" s="257">
        <f>H496</f>
        <v>0</v>
      </c>
      <c r="J496" s="373"/>
      <c r="K496" s="286"/>
      <c r="L496" s="286"/>
      <c r="M496" s="286"/>
      <c r="N496" s="286"/>
      <c r="O496" s="286"/>
      <c r="P496" s="287"/>
      <c r="Q496" s="277"/>
      <c r="R496" s="277"/>
      <c r="S496" s="277"/>
      <c r="T496" s="277"/>
      <c r="U496" s="277"/>
      <c r="V496" s="277"/>
    </row>
    <row r="497" spans="1:22">
      <c r="A497" s="252"/>
      <c r="B497" s="37"/>
      <c r="C497" s="38"/>
      <c r="D497" s="267"/>
      <c r="E497" s="262"/>
      <c r="F497" s="262"/>
      <c r="G497" s="382"/>
      <c r="H497" s="263" t="s">
        <v>253</v>
      </c>
      <c r="I497" s="264">
        <f>SUM(I493:I494)</f>
        <v>2</v>
      </c>
      <c r="J497" s="244"/>
      <c r="K497" s="258"/>
      <c r="L497" s="258"/>
      <c r="M497" s="258"/>
      <c r="N497" s="258"/>
      <c r="O497" s="258"/>
      <c r="P497" s="259"/>
      <c r="Q497" s="247"/>
      <c r="R497" s="247"/>
      <c r="S497" s="247"/>
      <c r="T497" s="247"/>
      <c r="U497" s="247"/>
      <c r="V497" s="247"/>
    </row>
    <row r="498" spans="1:22">
      <c r="A498" s="252"/>
      <c r="B498" s="37"/>
      <c r="C498" s="288"/>
      <c r="D498" s="288"/>
      <c r="E498" s="288"/>
      <c r="F498" s="288"/>
      <c r="G498" s="288"/>
      <c r="H498" s="288"/>
      <c r="I498" s="288"/>
      <c r="J498" s="244"/>
      <c r="K498" s="258"/>
      <c r="L498" s="258"/>
      <c r="M498" s="258"/>
      <c r="N498" s="258"/>
      <c r="O498" s="258"/>
      <c r="P498" s="259"/>
      <c r="Q498" s="247"/>
      <c r="R498" s="247"/>
      <c r="S498" s="247"/>
      <c r="T498" s="247"/>
      <c r="U498" s="247"/>
      <c r="V498" s="247"/>
    </row>
    <row r="499" spans="1:22" s="278" customFormat="1" ht="25.5">
      <c r="A499" s="252" t="s">
        <v>165</v>
      </c>
      <c r="B499" s="37" t="s">
        <v>166</v>
      </c>
      <c r="C499" s="38" t="str">
        <f>VLOOKUP($B499,SINAPI!$C$6:J6437,2,0)</f>
        <v>LUMINÁRIA EW BLAST POWERCORE BCP473 COMPLETA OU SIMILAR - FORNECIMENTO E INSTALAÇÃO</v>
      </c>
      <c r="D499" s="39" t="str">
        <f>VLOOKUP($B499,SINAPI!$C$6:K6437,3,0)</f>
        <v>UN</v>
      </c>
      <c r="E499" s="257"/>
      <c r="F499" s="257"/>
      <c r="G499" s="257"/>
      <c r="H499" s="257"/>
      <c r="I499" s="250">
        <f>I505</f>
        <v>10</v>
      </c>
      <c r="J499" s="244"/>
      <c r="K499" s="245">
        <f>VLOOKUP($B499,SINAPI!$C$6:R6437,4,0)</f>
        <v>4684.5833333333339</v>
      </c>
      <c r="L499" s="245"/>
      <c r="M499" s="275"/>
      <c r="N499" s="275"/>
      <c r="O499" s="275"/>
      <c r="P499" s="276">
        <f>SUM(K499:O499)</f>
        <v>4684.5833333333339</v>
      </c>
      <c r="Q499" s="277"/>
      <c r="R499" s="277"/>
      <c r="S499" s="277"/>
      <c r="T499" s="277"/>
      <c r="U499" s="277"/>
      <c r="V499" s="277"/>
    </row>
    <row r="500" spans="1:22" s="278" customFormat="1">
      <c r="A500" s="252"/>
      <c r="B500" s="37"/>
      <c r="C500" s="38"/>
      <c r="D500" s="39"/>
      <c r="E500" s="257"/>
      <c r="F500" s="257"/>
      <c r="G500" s="257"/>
      <c r="H500" s="257"/>
      <c r="I500" s="250"/>
      <c r="J500" s="244"/>
      <c r="K500" s="258"/>
      <c r="L500" s="258"/>
      <c r="M500" s="286"/>
      <c r="N500" s="286"/>
      <c r="O500" s="286"/>
      <c r="P500" s="287"/>
      <c r="Q500" s="277"/>
      <c r="R500" s="277"/>
      <c r="S500" s="277"/>
      <c r="T500" s="277"/>
      <c r="U500" s="277"/>
      <c r="V500" s="277"/>
    </row>
    <row r="501" spans="1:22" s="278" customFormat="1">
      <c r="A501" s="252"/>
      <c r="B501" s="37"/>
      <c r="C501" s="253" t="s">
        <v>421</v>
      </c>
      <c r="D501" s="39"/>
      <c r="E501" s="257"/>
      <c r="F501" s="257"/>
      <c r="G501" s="257"/>
      <c r="H501" s="262">
        <v>2</v>
      </c>
      <c r="I501" s="257">
        <f>PRODUCT(E501:H501)</f>
        <v>2</v>
      </c>
      <c r="J501" s="244"/>
      <c r="K501" s="258"/>
      <c r="L501" s="258"/>
      <c r="M501" s="286"/>
      <c r="N501" s="286"/>
      <c r="O501" s="286"/>
      <c r="P501" s="287"/>
      <c r="Q501" s="277"/>
      <c r="R501" s="277"/>
      <c r="S501" s="277"/>
      <c r="T501" s="277"/>
      <c r="U501" s="277"/>
      <c r="V501" s="277"/>
    </row>
    <row r="502" spans="1:22" s="278" customFormat="1">
      <c r="A502" s="252"/>
      <c r="B502" s="37"/>
      <c r="C502" s="253" t="s">
        <v>422</v>
      </c>
      <c r="D502" s="39"/>
      <c r="E502" s="257"/>
      <c r="F502" s="257"/>
      <c r="G502" s="257"/>
      <c r="H502" s="262">
        <v>2</v>
      </c>
      <c r="I502" s="257">
        <f>PRODUCT(E502:H502)</f>
        <v>2</v>
      </c>
      <c r="J502" s="244"/>
      <c r="K502" s="258"/>
      <c r="L502" s="258"/>
      <c r="M502" s="286"/>
      <c r="N502" s="286"/>
      <c r="O502" s="286"/>
      <c r="P502" s="287"/>
      <c r="Q502" s="277"/>
      <c r="R502" s="277"/>
      <c r="S502" s="277"/>
      <c r="T502" s="277"/>
      <c r="U502" s="277"/>
      <c r="V502" s="277"/>
    </row>
    <row r="503" spans="1:22" s="278" customFormat="1">
      <c r="A503" s="252"/>
      <c r="B503" s="37"/>
      <c r="C503" s="253" t="s">
        <v>351</v>
      </c>
      <c r="D503" s="39"/>
      <c r="E503" s="257"/>
      <c r="F503" s="257"/>
      <c r="G503" s="257">
        <v>3</v>
      </c>
      <c r="H503" s="262">
        <v>2</v>
      </c>
      <c r="I503" s="257">
        <f>PRODUCT(E503:H503)</f>
        <v>6</v>
      </c>
      <c r="J503" s="244"/>
      <c r="K503" s="258"/>
      <c r="L503" s="258"/>
      <c r="M503" s="286"/>
      <c r="N503" s="286"/>
      <c r="O503" s="286"/>
      <c r="P503" s="287"/>
      <c r="Q503" s="277"/>
      <c r="R503" s="277"/>
      <c r="S503" s="277"/>
      <c r="T503" s="277"/>
      <c r="U503" s="277"/>
      <c r="V503" s="277"/>
    </row>
    <row r="504" spans="1:22" s="278" customFormat="1">
      <c r="A504" s="252"/>
      <c r="B504" s="37"/>
      <c r="C504" s="38"/>
      <c r="D504" s="39"/>
      <c r="E504" s="257"/>
      <c r="F504" s="257"/>
      <c r="G504" s="257"/>
      <c r="H504" s="262"/>
      <c r="I504" s="257">
        <f>H504</f>
        <v>0</v>
      </c>
      <c r="J504" s="244"/>
      <c r="K504" s="258"/>
      <c r="L504" s="258"/>
      <c r="M504" s="286"/>
      <c r="N504" s="286"/>
      <c r="O504" s="286"/>
      <c r="P504" s="287"/>
      <c r="Q504" s="277"/>
      <c r="R504" s="277"/>
      <c r="S504" s="277"/>
      <c r="T504" s="277"/>
      <c r="U504" s="277"/>
      <c r="V504" s="277"/>
    </row>
    <row r="505" spans="1:22" s="278" customFormat="1">
      <c r="A505" s="252"/>
      <c r="B505" s="37"/>
      <c r="C505" s="38"/>
      <c r="D505" s="39"/>
      <c r="E505" s="257"/>
      <c r="F505" s="257"/>
      <c r="G505" s="257"/>
      <c r="H505" s="263" t="s">
        <v>253</v>
      </c>
      <c r="I505" s="264">
        <f>SUM(I501:I504)</f>
        <v>10</v>
      </c>
      <c r="J505" s="244"/>
      <c r="K505" s="258"/>
      <c r="L505" s="258"/>
      <c r="M505" s="286"/>
      <c r="N505" s="286"/>
      <c r="O505" s="286"/>
      <c r="P505" s="287"/>
      <c r="Q505" s="277"/>
      <c r="R505" s="277"/>
      <c r="S505" s="277"/>
      <c r="T505" s="277"/>
      <c r="U505" s="277"/>
      <c r="V505" s="277"/>
    </row>
    <row r="506" spans="1:22">
      <c r="A506" s="252"/>
      <c r="B506" s="37"/>
      <c r="C506" s="288"/>
      <c r="D506" s="288"/>
      <c r="E506" s="288"/>
      <c r="F506" s="288"/>
      <c r="G506" s="288"/>
      <c r="H506" s="393"/>
      <c r="I506" s="393"/>
      <c r="J506" s="244"/>
      <c r="K506" s="258"/>
      <c r="L506" s="258"/>
      <c r="M506" s="258"/>
      <c r="N506" s="258"/>
      <c r="O506" s="258"/>
      <c r="P506" s="259"/>
      <c r="Q506" s="247"/>
      <c r="R506" s="247"/>
      <c r="S506" s="247"/>
      <c r="T506" s="247"/>
      <c r="U506" s="247"/>
      <c r="V506" s="247"/>
    </row>
    <row r="507" spans="1:22" s="278" customFormat="1" ht="30.75" customHeight="1">
      <c r="A507" s="252" t="s">
        <v>167</v>
      </c>
      <c r="B507" s="37" t="s">
        <v>168</v>
      </c>
      <c r="C507" s="38" t="str">
        <f>VLOOKUP($B507,SINAPI!$C$6:J6444,2,0)</f>
        <v>LUMINARIA AQUALED 2L - FORNECIMENTO E INSTALAÇÃO</v>
      </c>
      <c r="D507" s="39" t="str">
        <f>VLOOKUP($B507,SINAPI!$C$6:K6444,3,0)</f>
        <v>UN</v>
      </c>
      <c r="E507" s="257"/>
      <c r="F507" s="257"/>
      <c r="G507" s="257"/>
      <c r="H507" s="257"/>
      <c r="I507" s="250">
        <f>I513</f>
        <v>40</v>
      </c>
      <c r="J507" s="244"/>
      <c r="K507" s="245">
        <f>VLOOKUP($B507,SINAPI!$C$6:R6444,4,0)</f>
        <v>888.96799999999996</v>
      </c>
      <c r="L507" s="245"/>
      <c r="M507" s="275"/>
      <c r="N507" s="275"/>
      <c r="O507" s="275"/>
      <c r="P507" s="276">
        <f>SUM(K507:O507)</f>
        <v>888.96799999999996</v>
      </c>
      <c r="Q507" s="277"/>
      <c r="R507" s="277"/>
      <c r="S507" s="277"/>
      <c r="T507" s="277"/>
      <c r="U507" s="277"/>
      <c r="V507" s="277"/>
    </row>
    <row r="508" spans="1:22" s="278" customFormat="1">
      <c r="A508" s="252"/>
      <c r="B508" s="37"/>
      <c r="C508" s="38"/>
      <c r="D508" s="39"/>
      <c r="E508" s="257"/>
      <c r="F508" s="257"/>
      <c r="G508" s="257"/>
      <c r="H508" s="257"/>
      <c r="I508" s="250"/>
      <c r="J508" s="244"/>
      <c r="K508" s="258"/>
      <c r="L508" s="258"/>
      <c r="M508" s="286"/>
      <c r="N508" s="286"/>
      <c r="O508" s="286"/>
      <c r="P508" s="287"/>
      <c r="Q508" s="277"/>
      <c r="R508" s="277"/>
      <c r="S508" s="277"/>
      <c r="T508" s="277"/>
      <c r="U508" s="277"/>
      <c r="V508" s="277"/>
    </row>
    <row r="509" spans="1:22" s="278" customFormat="1">
      <c r="A509" s="252"/>
      <c r="B509" s="37"/>
      <c r="C509" s="253" t="s">
        <v>421</v>
      </c>
      <c r="D509" s="39"/>
      <c r="E509" s="257"/>
      <c r="F509" s="257"/>
      <c r="G509" s="257"/>
      <c r="H509" s="262">
        <v>8</v>
      </c>
      <c r="I509" s="257">
        <f>PRODUCT(E509:H509)</f>
        <v>8</v>
      </c>
      <c r="J509" s="244"/>
      <c r="K509" s="258"/>
      <c r="L509" s="258"/>
      <c r="M509" s="286"/>
      <c r="N509" s="286"/>
      <c r="O509" s="286"/>
      <c r="P509" s="287"/>
      <c r="Q509" s="277"/>
      <c r="R509" s="277"/>
      <c r="S509" s="277"/>
      <c r="T509" s="277"/>
      <c r="U509" s="277"/>
      <c r="V509" s="277"/>
    </row>
    <row r="510" spans="1:22" s="278" customFormat="1">
      <c r="A510" s="252"/>
      <c r="B510" s="37"/>
      <c r="C510" s="253" t="s">
        <v>422</v>
      </c>
      <c r="D510" s="39"/>
      <c r="E510" s="257"/>
      <c r="F510" s="257"/>
      <c r="G510" s="257"/>
      <c r="H510" s="262">
        <v>8</v>
      </c>
      <c r="I510" s="257">
        <f>PRODUCT(E510:H510)</f>
        <v>8</v>
      </c>
      <c r="J510" s="244"/>
      <c r="K510" s="258"/>
      <c r="L510" s="258"/>
      <c r="M510" s="286"/>
      <c r="N510" s="286"/>
      <c r="O510" s="286"/>
      <c r="P510" s="287"/>
      <c r="Q510" s="277"/>
      <c r="R510" s="277"/>
      <c r="S510" s="277"/>
      <c r="T510" s="277"/>
      <c r="U510" s="277"/>
      <c r="V510" s="277"/>
    </row>
    <row r="511" spans="1:22" s="278" customFormat="1">
      <c r="A511" s="252"/>
      <c r="B511" s="37"/>
      <c r="C511" s="253" t="s">
        <v>351</v>
      </c>
      <c r="D511" s="39"/>
      <c r="E511" s="257"/>
      <c r="F511" s="257"/>
      <c r="G511" s="257">
        <v>3</v>
      </c>
      <c r="H511" s="262">
        <v>8</v>
      </c>
      <c r="I511" s="257">
        <f>PRODUCT(E511:H511)</f>
        <v>24</v>
      </c>
      <c r="J511" s="244"/>
      <c r="K511" s="258"/>
      <c r="L511" s="258"/>
      <c r="M511" s="286"/>
      <c r="N511" s="286"/>
      <c r="O511" s="286"/>
      <c r="P511" s="287"/>
      <c r="Q511" s="277"/>
      <c r="R511" s="277"/>
      <c r="S511" s="277"/>
      <c r="T511" s="277"/>
      <c r="U511" s="277"/>
      <c r="V511" s="277"/>
    </row>
    <row r="512" spans="1:22" s="278" customFormat="1">
      <c r="A512" s="252"/>
      <c r="B512" s="37"/>
      <c r="C512" s="253"/>
      <c r="D512" s="39"/>
      <c r="E512" s="257"/>
      <c r="F512" s="257"/>
      <c r="G512" s="257"/>
      <c r="H512" s="262"/>
      <c r="I512" s="312"/>
      <c r="J512" s="244"/>
      <c r="K512" s="258"/>
      <c r="L512" s="258"/>
      <c r="M512" s="286"/>
      <c r="N512" s="286"/>
      <c r="O512" s="286"/>
      <c r="P512" s="287"/>
      <c r="Q512" s="277"/>
      <c r="R512" s="277"/>
      <c r="S512" s="277"/>
      <c r="T512" s="277"/>
      <c r="U512" s="277"/>
      <c r="V512" s="277"/>
    </row>
    <row r="513" spans="1:22" s="278" customFormat="1">
      <c r="A513" s="252"/>
      <c r="B513" s="37"/>
      <c r="C513" s="38"/>
      <c r="D513" s="39"/>
      <c r="E513" s="257"/>
      <c r="F513" s="257"/>
      <c r="G513" s="257"/>
      <c r="H513" s="263" t="s">
        <v>253</v>
      </c>
      <c r="I513" s="264">
        <f>SUM(I509:I512)</f>
        <v>40</v>
      </c>
      <c r="J513" s="244"/>
      <c r="K513" s="258"/>
      <c r="L513" s="258"/>
      <c r="M513" s="286"/>
      <c r="N513" s="286"/>
      <c r="O513" s="286"/>
      <c r="P513" s="287"/>
      <c r="Q513" s="277"/>
      <c r="R513" s="277"/>
      <c r="S513" s="277"/>
      <c r="T513" s="277"/>
      <c r="U513" s="277"/>
      <c r="V513" s="277"/>
    </row>
    <row r="514" spans="1:22">
      <c r="A514" s="252"/>
      <c r="B514" s="37"/>
      <c r="C514" s="288"/>
      <c r="D514" s="288"/>
      <c r="E514" s="288"/>
      <c r="F514" s="288"/>
      <c r="G514" s="288"/>
      <c r="H514" s="393"/>
      <c r="I514" s="393"/>
      <c r="J514" s="244"/>
      <c r="K514" s="258"/>
      <c r="L514" s="258"/>
      <c r="M514" s="258"/>
      <c r="N514" s="258"/>
      <c r="O514" s="258"/>
      <c r="P514" s="259"/>
      <c r="Q514" s="247"/>
      <c r="R514" s="247"/>
      <c r="S514" s="247"/>
      <c r="T514" s="247"/>
      <c r="U514" s="247"/>
      <c r="V514" s="247"/>
    </row>
    <row r="515" spans="1:22" ht="25.5">
      <c r="A515" s="252" t="s">
        <v>169</v>
      </c>
      <c r="B515" s="37">
        <v>83399</v>
      </c>
      <c r="C515" s="38" t="str">
        <f>VLOOKUP($B515,SINAPI!$C$6:J6479,2,0)</f>
        <v>RELE FOTOELETRICO P/ COMANDO DE ILUMINACAO EXTERNA 220V/1000W - FORNECIMENTO E INSTALACAO</v>
      </c>
      <c r="D515" s="39" t="str">
        <f>VLOOKUP($B515,SINAPI!$C$6:K6479,3,0)</f>
        <v>UN</v>
      </c>
      <c r="E515" s="257"/>
      <c r="F515" s="257"/>
      <c r="G515" s="257"/>
      <c r="H515" s="257"/>
      <c r="I515" s="250">
        <f>I522</f>
        <v>2</v>
      </c>
      <c r="J515" s="244"/>
      <c r="K515" s="245">
        <f>VLOOKUP($B515,SINAPI!$C$6:R6479,4,0)</f>
        <v>45.61</v>
      </c>
      <c r="L515" s="245"/>
      <c r="M515" s="275"/>
      <c r="N515" s="275"/>
      <c r="O515" s="275"/>
      <c r="P515" s="276">
        <f>SUM(K515:O515)</f>
        <v>45.61</v>
      </c>
      <c r="Q515" s="247"/>
      <c r="R515" s="247"/>
      <c r="S515" s="247"/>
      <c r="T515" s="247"/>
      <c r="U515" s="247"/>
      <c r="V515" s="247"/>
    </row>
    <row r="516" spans="1:22">
      <c r="A516" s="252"/>
      <c r="B516" s="37"/>
      <c r="C516" s="38"/>
      <c r="D516" s="39"/>
      <c r="E516" s="257"/>
      <c r="F516" s="257"/>
      <c r="G516" s="257"/>
      <c r="H516" s="257"/>
      <c r="I516" s="250"/>
      <c r="J516" s="244"/>
      <c r="K516" s="258"/>
      <c r="L516" s="258"/>
      <c r="M516" s="286"/>
      <c r="N516" s="286"/>
      <c r="O516" s="286"/>
      <c r="P516" s="287"/>
      <c r="Q516" s="247"/>
      <c r="R516" s="247"/>
      <c r="S516" s="247"/>
      <c r="T516" s="247"/>
      <c r="U516" s="247"/>
      <c r="V516" s="247"/>
    </row>
    <row r="517" spans="1:22">
      <c r="A517" s="252"/>
      <c r="B517" s="37"/>
      <c r="C517" s="38"/>
      <c r="D517" s="39"/>
      <c r="E517" s="257"/>
      <c r="F517" s="257"/>
      <c r="G517" s="257"/>
      <c r="H517" s="257"/>
      <c r="I517" s="250"/>
      <c r="J517" s="244"/>
      <c r="K517" s="258"/>
      <c r="L517" s="258"/>
      <c r="M517" s="286"/>
      <c r="N517" s="286"/>
      <c r="O517" s="286"/>
      <c r="P517" s="287"/>
      <c r="Q517" s="247"/>
      <c r="R517" s="247"/>
      <c r="S517" s="247"/>
      <c r="T517" s="247"/>
      <c r="U517" s="247"/>
      <c r="V517" s="247"/>
    </row>
    <row r="518" spans="1:22">
      <c r="A518" s="252"/>
      <c r="B518" s="37"/>
      <c r="C518" s="253" t="s">
        <v>421</v>
      </c>
      <c r="D518" s="39"/>
      <c r="E518" s="257"/>
      <c r="F518" s="257"/>
      <c r="G518" s="257"/>
      <c r="H518" s="262">
        <v>1</v>
      </c>
      <c r="I518" s="257">
        <f>PRODUCT(E518:H518)</f>
        <v>1</v>
      </c>
      <c r="J518" s="244"/>
      <c r="K518" s="258"/>
      <c r="L518" s="258"/>
      <c r="M518" s="286"/>
      <c r="N518" s="286"/>
      <c r="O518" s="286"/>
      <c r="P518" s="287"/>
      <c r="Q518" s="247"/>
      <c r="R518" s="247"/>
      <c r="S518" s="247"/>
      <c r="T518" s="247"/>
      <c r="U518" s="247"/>
      <c r="V518" s="247"/>
    </row>
    <row r="519" spans="1:22">
      <c r="A519" s="252"/>
      <c r="B519" s="37"/>
      <c r="C519" s="253" t="s">
        <v>422</v>
      </c>
      <c r="D519" s="39"/>
      <c r="E519" s="257"/>
      <c r="F519" s="257"/>
      <c r="G519" s="257"/>
      <c r="H519" s="262">
        <v>1</v>
      </c>
      <c r="I519" s="257">
        <f>PRODUCT(E519:H519)</f>
        <v>1</v>
      </c>
      <c r="J519" s="244"/>
      <c r="K519" s="258"/>
      <c r="L519" s="258"/>
      <c r="M519" s="286"/>
      <c r="N519" s="286"/>
      <c r="O519" s="286"/>
      <c r="P519" s="287"/>
      <c r="Q519" s="247"/>
      <c r="R519" s="247"/>
      <c r="S519" s="247"/>
      <c r="T519" s="247"/>
      <c r="U519" s="247"/>
      <c r="V519" s="247"/>
    </row>
    <row r="520" spans="1:22">
      <c r="A520" s="252"/>
      <c r="B520" s="37"/>
      <c r="C520" s="253" t="s">
        <v>351</v>
      </c>
      <c r="D520" s="39"/>
      <c r="E520" s="257"/>
      <c r="F520" s="257"/>
      <c r="G520" s="257"/>
      <c r="H520" s="262">
        <v>3</v>
      </c>
      <c r="I520" s="257">
        <f>PRODUCT(E520:H520)</f>
        <v>3</v>
      </c>
      <c r="J520" s="244"/>
      <c r="K520" s="258"/>
      <c r="L520" s="258"/>
      <c r="M520" s="286"/>
      <c r="N520" s="286"/>
      <c r="O520" s="286"/>
      <c r="P520" s="287"/>
      <c r="Q520" s="247"/>
      <c r="R520" s="247"/>
      <c r="S520" s="247"/>
      <c r="T520" s="247"/>
      <c r="U520" s="247"/>
      <c r="V520" s="247"/>
    </row>
    <row r="521" spans="1:22">
      <c r="A521" s="252"/>
      <c r="B521" s="37"/>
      <c r="C521" s="253"/>
      <c r="D521" s="39"/>
      <c r="E521" s="257"/>
      <c r="F521" s="257"/>
      <c r="G521" s="257"/>
      <c r="H521" s="262"/>
      <c r="I521" s="257">
        <f>PRODUCT(E521:H521)</f>
        <v>0</v>
      </c>
      <c r="J521" s="244"/>
      <c r="K521" s="258"/>
      <c r="L521" s="258"/>
      <c r="M521" s="286"/>
      <c r="N521" s="286"/>
      <c r="O521" s="286"/>
      <c r="P521" s="287"/>
      <c r="Q521" s="247"/>
      <c r="R521" s="247"/>
      <c r="S521" s="247"/>
      <c r="T521" s="247"/>
      <c r="U521" s="247"/>
      <c r="V521" s="247"/>
    </row>
    <row r="522" spans="1:22">
      <c r="A522" s="252"/>
      <c r="B522" s="37"/>
      <c r="C522" s="38"/>
      <c r="D522" s="39"/>
      <c r="E522" s="257"/>
      <c r="F522" s="257"/>
      <c r="G522" s="257"/>
      <c r="H522" s="263" t="s">
        <v>253</v>
      </c>
      <c r="I522" s="264">
        <f>SUM(I518:I519)</f>
        <v>2</v>
      </c>
      <c r="J522" s="244"/>
      <c r="K522" s="258"/>
      <c r="L522" s="258"/>
      <c r="M522" s="286"/>
      <c r="N522" s="286"/>
      <c r="O522" s="286"/>
      <c r="P522" s="287"/>
      <c r="Q522" s="247"/>
      <c r="R522" s="247"/>
      <c r="S522" s="247"/>
      <c r="T522" s="247"/>
      <c r="U522" s="247"/>
      <c r="V522" s="247"/>
    </row>
    <row r="523" spans="1:22">
      <c r="A523" s="252"/>
      <c r="B523" s="37"/>
      <c r="C523" s="288"/>
      <c r="D523" s="288"/>
      <c r="E523" s="288"/>
      <c r="F523" s="288"/>
      <c r="G523" s="288"/>
      <c r="H523" s="393"/>
      <c r="I523" s="393"/>
      <c r="J523" s="244"/>
      <c r="K523" s="258"/>
      <c r="L523" s="258"/>
      <c r="M523" s="258"/>
      <c r="N523" s="258"/>
      <c r="O523" s="258"/>
      <c r="P523" s="259"/>
      <c r="Q523" s="247"/>
      <c r="R523" s="247"/>
      <c r="S523" s="247"/>
      <c r="T523" s="247"/>
      <c r="U523" s="247"/>
      <c r="V523" s="247"/>
    </row>
    <row r="524" spans="1:22">
      <c r="A524" s="394" t="s">
        <v>328</v>
      </c>
      <c r="B524" s="394"/>
      <c r="C524" s="395" t="s">
        <v>171</v>
      </c>
      <c r="D524" s="396"/>
      <c r="E524" s="397"/>
      <c r="F524" s="397"/>
      <c r="G524" s="397"/>
      <c r="H524" s="397"/>
      <c r="I524" s="397"/>
      <c r="J524" s="244"/>
      <c r="K524" s="258"/>
      <c r="L524" s="258"/>
      <c r="M524" s="258"/>
      <c r="N524" s="258"/>
      <c r="O524" s="258"/>
      <c r="P524" s="259"/>
      <c r="Q524" s="247"/>
      <c r="R524" s="247"/>
      <c r="S524" s="247"/>
      <c r="T524" s="247"/>
      <c r="U524" s="247"/>
      <c r="V524" s="247"/>
    </row>
    <row r="525" spans="1:22" s="217" customFormat="1" ht="28.5" customHeight="1">
      <c r="A525" s="252" t="s">
        <v>172</v>
      </c>
      <c r="B525" s="398">
        <v>85180</v>
      </c>
      <c r="C525" s="38" t="str">
        <f>VLOOKUP($B525,SINAPI!$C$6:J6258,2,0)</f>
        <v>PLANTIO DE GRAMA ESMERALDA EM ROLO, INCLUSIVE PREPARO DO SOLO</v>
      </c>
      <c r="D525" s="39" t="str">
        <f>VLOOKUP($B525,SINAPI!$C$6:K6258,3,0)</f>
        <v>M2</v>
      </c>
      <c r="E525" s="257"/>
      <c r="F525" s="257"/>
      <c r="G525" s="257"/>
      <c r="H525" s="257"/>
      <c r="I525" s="250">
        <f>I530</f>
        <v>405.09000000000003</v>
      </c>
      <c r="J525" s="98"/>
      <c r="K525" s="245">
        <f>VLOOKUP($B525,SINAPI!$C$6:R6258,4,0)</f>
        <v>13.44</v>
      </c>
      <c r="L525" s="245"/>
      <c r="M525" s="245"/>
      <c r="N525" s="245"/>
      <c r="O525" s="245"/>
      <c r="P525" s="246">
        <f>SUM(K525:O525)</f>
        <v>13.44</v>
      </c>
      <c r="Q525" s="320"/>
      <c r="R525" s="320"/>
      <c r="S525" s="320"/>
      <c r="T525" s="320"/>
      <c r="U525" s="320"/>
      <c r="V525" s="320"/>
    </row>
    <row r="526" spans="1:22" s="217" customFormat="1">
      <c r="A526" s="252"/>
      <c r="B526" s="39"/>
      <c r="C526" s="253"/>
      <c r="D526" s="254"/>
      <c r="E526" s="257"/>
      <c r="F526" s="257"/>
      <c r="G526" s="257"/>
      <c r="H526" s="257"/>
      <c r="I526" s="257"/>
      <c r="J526" s="98"/>
      <c r="K526" s="258"/>
      <c r="L526" s="258"/>
      <c r="M526" s="258"/>
      <c r="N526" s="258"/>
      <c r="O526" s="258"/>
      <c r="P526" s="259"/>
      <c r="Q526" s="320"/>
      <c r="R526" s="320"/>
      <c r="S526" s="320"/>
      <c r="T526" s="320"/>
      <c r="U526" s="320"/>
      <c r="V526" s="320"/>
    </row>
    <row r="527" spans="1:22" s="217" customFormat="1">
      <c r="A527" s="252"/>
      <c r="B527" s="39"/>
      <c r="C527" s="253" t="s">
        <v>352</v>
      </c>
      <c r="D527" s="254"/>
      <c r="E527" s="255"/>
      <c r="F527" s="255"/>
      <c r="G527" s="257"/>
      <c r="H527" s="257">
        <v>83.98</v>
      </c>
      <c r="I527" s="257">
        <f>PRODUCT(E527:H527)</f>
        <v>83.98</v>
      </c>
      <c r="J527" s="98"/>
      <c r="K527" s="258"/>
      <c r="L527" s="258"/>
      <c r="M527" s="258"/>
      <c r="N527" s="258"/>
      <c r="O527" s="258"/>
      <c r="P527" s="259"/>
      <c r="Q527" s="320"/>
      <c r="R527" s="320"/>
      <c r="S527" s="320"/>
      <c r="T527" s="320"/>
      <c r="U527" s="320"/>
      <c r="V527" s="320"/>
    </row>
    <row r="528" spans="1:22" s="217" customFormat="1">
      <c r="A528" s="252"/>
      <c r="B528" s="39"/>
      <c r="C528" s="253" t="s">
        <v>353</v>
      </c>
      <c r="D528" s="254"/>
      <c r="E528" s="255"/>
      <c r="F528" s="255"/>
      <c r="G528" s="257"/>
      <c r="H528" s="257">
        <v>321.11</v>
      </c>
      <c r="I528" s="257">
        <f>PRODUCT(E528:H528)</f>
        <v>321.11</v>
      </c>
      <c r="J528" s="98"/>
      <c r="K528" s="258"/>
      <c r="L528" s="258"/>
      <c r="M528" s="258"/>
      <c r="N528" s="258"/>
      <c r="O528" s="258"/>
      <c r="P528" s="259"/>
      <c r="Q528" s="320"/>
      <c r="R528" s="320"/>
      <c r="S528" s="320"/>
      <c r="T528" s="320"/>
      <c r="U528" s="320"/>
      <c r="V528" s="320"/>
    </row>
    <row r="529" spans="1:22" s="217" customFormat="1">
      <c r="A529" s="252"/>
      <c r="B529" s="39"/>
      <c r="C529" s="253"/>
      <c r="D529" s="252"/>
      <c r="E529" s="257"/>
      <c r="F529" s="257"/>
      <c r="G529" s="257"/>
      <c r="H529" s="257"/>
      <c r="I529" s="257">
        <f>PRODUCT(E529:H529)</f>
        <v>0</v>
      </c>
      <c r="J529" s="98"/>
      <c r="K529" s="258"/>
      <c r="L529" s="258"/>
      <c r="M529" s="258"/>
      <c r="N529" s="258"/>
      <c r="O529" s="258"/>
      <c r="P529" s="259"/>
      <c r="Q529" s="320"/>
      <c r="R529" s="320"/>
      <c r="S529" s="320"/>
      <c r="T529" s="320"/>
      <c r="U529" s="320"/>
      <c r="V529" s="320"/>
    </row>
    <row r="530" spans="1:22" s="217" customFormat="1">
      <c r="A530" s="252"/>
      <c r="B530" s="39"/>
      <c r="C530" s="253"/>
      <c r="D530" s="254"/>
      <c r="E530" s="257"/>
      <c r="F530" s="257"/>
      <c r="G530" s="257"/>
      <c r="H530" s="263" t="s">
        <v>253</v>
      </c>
      <c r="I530" s="380">
        <f>SUM(I527:I529)</f>
        <v>405.09000000000003</v>
      </c>
      <c r="J530" s="98"/>
      <c r="K530" s="258"/>
      <c r="L530" s="258"/>
      <c r="M530" s="258"/>
      <c r="N530" s="258"/>
      <c r="O530" s="258"/>
      <c r="P530" s="259"/>
      <c r="Q530" s="320"/>
      <c r="R530" s="320"/>
      <c r="S530" s="320"/>
      <c r="T530" s="320"/>
      <c r="U530" s="320"/>
      <c r="V530" s="320"/>
    </row>
    <row r="531" spans="1:22" s="217" customFormat="1">
      <c r="A531" s="252"/>
      <c r="B531" s="39"/>
      <c r="C531" s="253"/>
      <c r="D531" s="254"/>
      <c r="E531" s="257"/>
      <c r="F531" s="257"/>
      <c r="G531" s="257"/>
      <c r="H531" s="257"/>
      <c r="I531" s="257"/>
      <c r="J531" s="98"/>
      <c r="K531" s="258"/>
      <c r="L531" s="258"/>
      <c r="M531" s="258"/>
      <c r="N531" s="258"/>
      <c r="O531" s="258"/>
      <c r="P531" s="259"/>
      <c r="Q531" s="320"/>
      <c r="R531" s="320"/>
      <c r="S531" s="320"/>
      <c r="T531" s="320"/>
      <c r="U531" s="320"/>
      <c r="V531" s="320"/>
    </row>
    <row r="532" spans="1:22" s="217" customFormat="1">
      <c r="A532" s="252"/>
      <c r="B532" s="267"/>
      <c r="C532" s="253"/>
      <c r="D532" s="254"/>
      <c r="E532" s="257"/>
      <c r="F532" s="257"/>
      <c r="G532" s="257"/>
      <c r="H532" s="257"/>
      <c r="I532" s="257"/>
      <c r="J532" s="98"/>
      <c r="K532" s="258"/>
      <c r="L532" s="258"/>
      <c r="M532" s="258"/>
      <c r="N532" s="258"/>
      <c r="O532" s="258"/>
      <c r="P532" s="259"/>
      <c r="Q532" s="320"/>
      <c r="R532" s="320"/>
      <c r="S532" s="320"/>
      <c r="T532" s="320"/>
      <c r="U532" s="320"/>
      <c r="V532" s="320"/>
    </row>
    <row r="533" spans="1:22" s="217" customFormat="1" ht="29.25" customHeight="1">
      <c r="A533" s="252" t="s">
        <v>174</v>
      </c>
      <c r="B533" s="398" t="s">
        <v>175</v>
      </c>
      <c r="C533" s="38" t="str">
        <f>VLOOKUP($B533,SINAPI!$C$6:J6266,2,0)</f>
        <v>PLANTIO DE ARVORE REGIONAL, ALTURA MAIOR QUE 2,00M, EM CAVAS DE 80X80X80CM</v>
      </c>
      <c r="D533" s="39" t="str">
        <f>VLOOKUP($B533,SINAPI!$C$6:K6266,3,0)</f>
        <v>UN</v>
      </c>
      <c r="E533" s="257"/>
      <c r="F533" s="257"/>
      <c r="G533" s="257"/>
      <c r="H533" s="257"/>
      <c r="I533" s="250">
        <f>I538</f>
        <v>3</v>
      </c>
      <c r="J533" s="98"/>
      <c r="K533" s="245">
        <f>VLOOKUP($B533,SINAPI!$C$6:R6266,4,0)</f>
        <v>141.6</v>
      </c>
      <c r="L533" s="245"/>
      <c r="M533" s="245"/>
      <c r="N533" s="245"/>
      <c r="O533" s="245"/>
      <c r="P533" s="246">
        <f>SUM(K533:O533)</f>
        <v>141.6</v>
      </c>
      <c r="Q533" s="320"/>
      <c r="R533" s="320"/>
      <c r="S533" s="320"/>
      <c r="T533" s="320"/>
      <c r="U533" s="320"/>
      <c r="V533" s="320"/>
    </row>
    <row r="534" spans="1:22" s="217" customFormat="1">
      <c r="A534" s="252"/>
      <c r="B534" s="39"/>
      <c r="C534" s="253"/>
      <c r="D534" s="254"/>
      <c r="E534" s="257"/>
      <c r="F534" s="257"/>
      <c r="G534" s="257"/>
      <c r="H534" s="257"/>
      <c r="I534" s="257"/>
      <c r="J534" s="98"/>
      <c r="K534" s="258"/>
      <c r="L534" s="258"/>
      <c r="M534" s="258"/>
      <c r="N534" s="258"/>
      <c r="O534" s="258"/>
      <c r="P534" s="259"/>
      <c r="Q534" s="320"/>
      <c r="R534" s="320"/>
      <c r="S534" s="320"/>
      <c r="T534" s="320"/>
      <c r="U534" s="320"/>
      <c r="V534" s="320"/>
    </row>
    <row r="535" spans="1:22" s="217" customFormat="1">
      <c r="A535" s="252"/>
      <c r="B535" s="39"/>
      <c r="C535" s="253" t="s">
        <v>352</v>
      </c>
      <c r="D535" s="254"/>
      <c r="E535" s="255"/>
      <c r="F535" s="255"/>
      <c r="G535" s="257"/>
      <c r="H535" s="257">
        <v>1</v>
      </c>
      <c r="I535" s="257">
        <f>PRODUCT(E535:H535)</f>
        <v>1</v>
      </c>
      <c r="J535" s="98"/>
      <c r="K535" s="258"/>
      <c r="L535" s="258"/>
      <c r="M535" s="258"/>
      <c r="N535" s="258"/>
      <c r="O535" s="258"/>
      <c r="P535" s="259"/>
      <c r="Q535" s="320"/>
      <c r="R535" s="320"/>
      <c r="S535" s="320"/>
      <c r="T535" s="320"/>
      <c r="U535" s="320"/>
      <c r="V535" s="320"/>
    </row>
    <row r="536" spans="1:22" s="217" customFormat="1">
      <c r="A536" s="252"/>
      <c r="B536" s="39"/>
      <c r="C536" s="253" t="s">
        <v>353</v>
      </c>
      <c r="D536" s="254"/>
      <c r="E536" s="255"/>
      <c r="F536" s="255"/>
      <c r="G536" s="257"/>
      <c r="H536" s="257">
        <v>2</v>
      </c>
      <c r="I536" s="257">
        <f>PRODUCT(E536:H536)</f>
        <v>2</v>
      </c>
      <c r="J536" s="98"/>
      <c r="K536" s="258"/>
      <c r="L536" s="258"/>
      <c r="M536" s="258"/>
      <c r="N536" s="258"/>
      <c r="O536" s="258"/>
      <c r="P536" s="259"/>
      <c r="Q536" s="320"/>
      <c r="R536" s="320"/>
      <c r="S536" s="320"/>
      <c r="T536" s="320"/>
      <c r="U536" s="320"/>
      <c r="V536" s="320"/>
    </row>
    <row r="537" spans="1:22" s="217" customFormat="1">
      <c r="A537" s="252"/>
      <c r="B537" s="39"/>
      <c r="C537" s="253"/>
      <c r="D537" s="252"/>
      <c r="E537" s="257"/>
      <c r="F537" s="257"/>
      <c r="G537" s="257"/>
      <c r="H537" s="257"/>
      <c r="I537" s="257">
        <f>PRODUCT(E537:H537)</f>
        <v>0</v>
      </c>
      <c r="J537" s="98"/>
      <c r="K537" s="258"/>
      <c r="L537" s="258"/>
      <c r="M537" s="258"/>
      <c r="N537" s="258"/>
      <c r="O537" s="258"/>
      <c r="P537" s="259"/>
      <c r="Q537" s="320"/>
      <c r="R537" s="320"/>
      <c r="S537" s="320"/>
      <c r="T537" s="320"/>
      <c r="U537" s="320"/>
      <c r="V537" s="320"/>
    </row>
    <row r="538" spans="1:22" s="217" customFormat="1">
      <c r="A538" s="252"/>
      <c r="B538" s="39"/>
      <c r="C538" s="253"/>
      <c r="D538" s="254"/>
      <c r="E538" s="257"/>
      <c r="F538" s="257"/>
      <c r="G538" s="257"/>
      <c r="H538" s="263" t="s">
        <v>253</v>
      </c>
      <c r="I538" s="380">
        <f>SUM(I535:I537)</f>
        <v>3</v>
      </c>
      <c r="J538" s="98"/>
      <c r="K538" s="258"/>
      <c r="L538" s="258"/>
      <c r="M538" s="258"/>
      <c r="N538" s="258"/>
      <c r="O538" s="258"/>
      <c r="P538" s="259"/>
      <c r="Q538" s="320"/>
      <c r="R538" s="320"/>
      <c r="S538" s="320"/>
      <c r="T538" s="320"/>
      <c r="U538" s="320"/>
      <c r="V538" s="320"/>
    </row>
    <row r="539" spans="1:22" s="217" customFormat="1">
      <c r="A539" s="252"/>
      <c r="B539" s="267"/>
      <c r="C539" s="253"/>
      <c r="D539" s="254"/>
      <c r="E539" s="257"/>
      <c r="F539" s="257"/>
      <c r="G539" s="257"/>
      <c r="H539" s="257"/>
      <c r="I539" s="257"/>
      <c r="J539" s="98"/>
      <c r="K539" s="258"/>
      <c r="L539" s="258"/>
      <c r="M539" s="258"/>
      <c r="N539" s="258"/>
      <c r="O539" s="258"/>
      <c r="P539" s="259"/>
      <c r="Q539" s="320"/>
      <c r="R539" s="320"/>
      <c r="S539" s="320"/>
      <c r="T539" s="320"/>
      <c r="U539" s="320"/>
      <c r="V539" s="320"/>
    </row>
    <row r="540" spans="1:22" s="217" customFormat="1">
      <c r="A540" s="252"/>
      <c r="B540" s="267"/>
      <c r="C540" s="253"/>
      <c r="D540" s="254"/>
      <c r="E540" s="257"/>
      <c r="F540" s="257"/>
      <c r="G540" s="257"/>
      <c r="H540" s="257"/>
      <c r="I540" s="257"/>
      <c r="J540" s="98"/>
      <c r="K540" s="258"/>
      <c r="L540" s="258"/>
      <c r="M540" s="258"/>
      <c r="N540" s="258"/>
      <c r="O540" s="258"/>
      <c r="P540" s="259"/>
      <c r="Q540" s="320"/>
      <c r="R540" s="320"/>
      <c r="S540" s="320"/>
      <c r="T540" s="320"/>
      <c r="U540" s="320"/>
      <c r="V540" s="320"/>
    </row>
    <row r="541" spans="1:22" s="217" customFormat="1" ht="25.5">
      <c r="A541" s="252" t="s">
        <v>177</v>
      </c>
      <c r="B541" s="398">
        <v>85178</v>
      </c>
      <c r="C541" s="38" t="str">
        <f>VLOOKUP($B541,SINAPI!$C$6:J6274,2,0)</f>
        <v>PLANTIO DE ARBUSTO COM ALTURA 50 A 100CM, EM CAVA DE 60X60X60CM</v>
      </c>
      <c r="D541" s="39" t="str">
        <f>VLOOKUP($B541,SINAPI!$C$6:K6274,3,0)</f>
        <v>UN</v>
      </c>
      <c r="E541" s="257"/>
      <c r="F541" s="257"/>
      <c r="G541" s="257"/>
      <c r="H541" s="257"/>
      <c r="I541" s="250">
        <f>I546</f>
        <v>262</v>
      </c>
      <c r="J541" s="98"/>
      <c r="K541" s="245">
        <f>VLOOKUP($B541,SINAPI!$C$6:R6274,4,0)</f>
        <v>71.78</v>
      </c>
      <c r="L541" s="245"/>
      <c r="M541" s="245"/>
      <c r="N541" s="245"/>
      <c r="O541" s="245"/>
      <c r="P541" s="246">
        <f>SUM(K541:O541)</f>
        <v>71.78</v>
      </c>
      <c r="Q541" s="320"/>
      <c r="R541" s="320"/>
      <c r="S541" s="320"/>
      <c r="T541" s="320"/>
      <c r="U541" s="320"/>
      <c r="V541" s="320"/>
    </row>
    <row r="542" spans="1:22" s="217" customFormat="1">
      <c r="A542" s="252"/>
      <c r="B542" s="39"/>
      <c r="C542" s="253"/>
      <c r="D542" s="254"/>
      <c r="E542" s="257"/>
      <c r="F542" s="257"/>
      <c r="G542" s="257"/>
      <c r="H542" s="257"/>
      <c r="I542" s="257"/>
      <c r="J542" s="98"/>
      <c r="K542" s="258"/>
      <c r="L542" s="258"/>
      <c r="M542" s="258"/>
      <c r="N542" s="258"/>
      <c r="O542" s="258"/>
      <c r="P542" s="259"/>
      <c r="Q542" s="320"/>
      <c r="R542" s="320"/>
      <c r="S542" s="320"/>
      <c r="T542" s="320"/>
      <c r="U542" s="320"/>
      <c r="V542" s="320"/>
    </row>
    <row r="543" spans="1:22" s="217" customFormat="1">
      <c r="A543" s="252"/>
      <c r="B543" s="39"/>
      <c r="C543" s="253" t="s">
        <v>352</v>
      </c>
      <c r="D543" s="254"/>
      <c r="E543" s="255"/>
      <c r="F543" s="255"/>
      <c r="G543" s="257">
        <v>53.28</v>
      </c>
      <c r="H543" s="257">
        <f>0.6*0.6</f>
        <v>0.36</v>
      </c>
      <c r="I543" s="257">
        <f>ROUNDUP(G543/H543,0)</f>
        <v>148</v>
      </c>
      <c r="J543" s="98"/>
      <c r="K543" s="258"/>
      <c r="L543" s="258"/>
      <c r="M543" s="258"/>
      <c r="N543" s="258"/>
      <c r="O543" s="258"/>
      <c r="P543" s="259"/>
      <c r="Q543" s="320"/>
      <c r="R543" s="320"/>
      <c r="S543" s="320"/>
      <c r="T543" s="320"/>
      <c r="U543" s="320"/>
      <c r="V543" s="320"/>
    </row>
    <row r="544" spans="1:22" s="217" customFormat="1">
      <c r="A544" s="252"/>
      <c r="B544" s="39"/>
      <c r="C544" s="253" t="s">
        <v>353</v>
      </c>
      <c r="D544" s="254"/>
      <c r="E544" s="255"/>
      <c r="F544" s="255"/>
      <c r="G544" s="257">
        <v>40.729999999999997</v>
      </c>
      <c r="H544" s="257">
        <f>0.6*0.6</f>
        <v>0.36</v>
      </c>
      <c r="I544" s="257">
        <f>ROUNDUP(G544/H544,0)</f>
        <v>114</v>
      </c>
      <c r="J544" s="98"/>
      <c r="K544" s="258"/>
      <c r="L544" s="258"/>
      <c r="M544" s="258"/>
      <c r="N544" s="258"/>
      <c r="O544" s="258"/>
      <c r="P544" s="259"/>
      <c r="Q544" s="320"/>
      <c r="R544" s="320"/>
      <c r="S544" s="320"/>
      <c r="T544" s="320"/>
      <c r="U544" s="320"/>
      <c r="V544" s="320"/>
    </row>
    <row r="545" spans="1:22" s="217" customFormat="1">
      <c r="A545" s="252"/>
      <c r="B545" s="39"/>
      <c r="C545" s="253"/>
      <c r="D545" s="254"/>
      <c r="E545" s="255"/>
      <c r="F545" s="255"/>
      <c r="G545" s="257"/>
      <c r="H545" s="312"/>
      <c r="I545" s="312"/>
      <c r="J545" s="98"/>
      <c r="K545" s="258"/>
      <c r="L545" s="258"/>
      <c r="M545" s="258"/>
      <c r="N545" s="258"/>
      <c r="O545" s="258"/>
      <c r="P545" s="259"/>
      <c r="Q545" s="320"/>
      <c r="R545" s="320"/>
      <c r="S545" s="320"/>
      <c r="T545" s="320"/>
      <c r="U545" s="320"/>
      <c r="V545" s="320"/>
    </row>
    <row r="546" spans="1:22" s="217" customFormat="1">
      <c r="A546" s="252"/>
      <c r="B546" s="39"/>
      <c r="C546" s="253"/>
      <c r="D546" s="254"/>
      <c r="E546" s="257"/>
      <c r="F546" s="257"/>
      <c r="G546" s="257"/>
      <c r="H546" s="263" t="s">
        <v>253</v>
      </c>
      <c r="I546" s="380">
        <f>SUM(I543:I545)</f>
        <v>262</v>
      </c>
      <c r="J546" s="98"/>
      <c r="K546" s="258"/>
      <c r="L546" s="258"/>
      <c r="M546" s="258"/>
      <c r="N546" s="258"/>
      <c r="O546" s="258"/>
      <c r="P546" s="259"/>
      <c r="Q546" s="320"/>
      <c r="R546" s="320"/>
      <c r="S546" s="320"/>
      <c r="T546" s="320"/>
      <c r="U546" s="320"/>
      <c r="V546" s="320"/>
    </row>
    <row r="547" spans="1:22" s="217" customFormat="1">
      <c r="A547" s="252"/>
      <c r="B547" s="267"/>
      <c r="C547" s="253"/>
      <c r="D547" s="254"/>
      <c r="E547" s="257"/>
      <c r="F547" s="257"/>
      <c r="G547" s="257"/>
      <c r="H547" s="257"/>
      <c r="I547" s="257"/>
      <c r="J547" s="98"/>
      <c r="K547" s="258"/>
      <c r="L547" s="258"/>
      <c r="M547" s="258"/>
      <c r="N547" s="258"/>
      <c r="O547" s="258"/>
      <c r="P547" s="259"/>
      <c r="Q547" s="320"/>
      <c r="R547" s="320"/>
      <c r="S547" s="320"/>
      <c r="T547" s="320"/>
      <c r="U547" s="320"/>
      <c r="V547" s="320"/>
    </row>
    <row r="548" spans="1:22" s="217" customFormat="1" ht="25.5">
      <c r="A548" s="252" t="s">
        <v>179</v>
      </c>
      <c r="B548" s="398" t="s">
        <v>425</v>
      </c>
      <c r="C548" s="38" t="str">
        <f>VLOOKUP($B548,SINAPI!$C$6:J6281,2,0)</f>
        <v xml:space="preserve">PLACA DE SINALIZACAO EM CHAPA DE ALUMINIO COM PINTURA REFLETIVA, E = 2 MM, INCLUSIVE FIXAÇÃO </v>
      </c>
      <c r="D548" s="39" t="str">
        <f>VLOOKUP($B548,SINAPI!$C$6:K6281,3,0)</f>
        <v>M2</v>
      </c>
      <c r="E548" s="257"/>
      <c r="F548" s="257"/>
      <c r="G548" s="257"/>
      <c r="H548" s="257"/>
      <c r="I548" s="250">
        <f>I556</f>
        <v>36.620000000000005</v>
      </c>
      <c r="J548" s="98"/>
      <c r="K548" s="245">
        <f>VLOOKUP($B548,SINAPI!$C$6:R6281,4,0)</f>
        <v>793.19999999999993</v>
      </c>
      <c r="L548" s="245"/>
      <c r="M548" s="245"/>
      <c r="N548" s="245"/>
      <c r="O548" s="245"/>
      <c r="P548" s="246">
        <f>SUM(K548:O548)</f>
        <v>793.19999999999993</v>
      </c>
      <c r="Q548" s="320"/>
      <c r="R548" s="320"/>
      <c r="S548" s="320"/>
      <c r="T548" s="320"/>
      <c r="U548" s="320"/>
      <c r="V548" s="320"/>
    </row>
    <row r="549" spans="1:22" s="217" customFormat="1">
      <c r="A549" s="252"/>
      <c r="B549" s="39"/>
      <c r="C549" s="253"/>
      <c r="D549" s="254"/>
      <c r="E549" s="257"/>
      <c r="F549" s="257"/>
      <c r="G549" s="257"/>
      <c r="H549" s="257"/>
      <c r="I549" s="257"/>
      <c r="J549" s="98"/>
      <c r="K549" s="258"/>
      <c r="L549" s="258"/>
      <c r="M549" s="258"/>
      <c r="N549" s="258"/>
      <c r="O549" s="258"/>
      <c r="P549" s="259"/>
      <c r="Q549" s="320"/>
      <c r="R549" s="320"/>
      <c r="S549" s="320"/>
      <c r="T549" s="320"/>
      <c r="U549" s="320"/>
      <c r="V549" s="320"/>
    </row>
    <row r="550" spans="1:22" s="217" customFormat="1">
      <c r="A550" s="252"/>
      <c r="B550" s="39"/>
      <c r="C550" s="253" t="s">
        <v>426</v>
      </c>
      <c r="D550" s="254"/>
      <c r="E550" s="255"/>
      <c r="F550" s="255"/>
      <c r="G550" s="257"/>
      <c r="H550" s="257">
        <v>11.74</v>
      </c>
      <c r="I550" s="257">
        <f>H550</f>
        <v>11.74</v>
      </c>
      <c r="J550" s="98"/>
      <c r="K550" s="258"/>
      <c r="L550" s="258"/>
      <c r="M550" s="258"/>
      <c r="N550" s="258"/>
      <c r="O550" s="258"/>
      <c r="P550" s="259"/>
      <c r="Q550" s="320"/>
      <c r="R550" s="320"/>
      <c r="S550" s="320"/>
      <c r="T550" s="320"/>
      <c r="U550" s="320"/>
      <c r="V550" s="320"/>
    </row>
    <row r="551" spans="1:22" s="217" customFormat="1">
      <c r="A551" s="252"/>
      <c r="B551" s="39"/>
      <c r="C551" s="253" t="s">
        <v>427</v>
      </c>
      <c r="D551" s="254"/>
      <c r="E551" s="255"/>
      <c r="F551" s="255"/>
      <c r="G551" s="257"/>
      <c r="H551" s="257">
        <v>11.74</v>
      </c>
      <c r="I551" s="257">
        <f>H551</f>
        <v>11.74</v>
      </c>
      <c r="J551" s="98"/>
      <c r="K551" s="258"/>
      <c r="L551" s="258"/>
      <c r="M551" s="258"/>
      <c r="N551" s="258"/>
      <c r="O551" s="258"/>
      <c r="P551" s="259"/>
      <c r="Q551" s="320"/>
      <c r="R551" s="320"/>
      <c r="S551" s="320"/>
      <c r="T551" s="320"/>
      <c r="U551" s="320"/>
      <c r="V551" s="320"/>
    </row>
    <row r="552" spans="1:22" s="217" customFormat="1">
      <c r="A552" s="252"/>
      <c r="B552" s="39"/>
      <c r="C552" s="253" t="s">
        <v>428</v>
      </c>
      <c r="D552" s="254"/>
      <c r="E552" s="255"/>
      <c r="F552" s="255"/>
      <c r="G552" s="257"/>
      <c r="H552" s="257">
        <v>4.38</v>
      </c>
      <c r="I552" s="257">
        <f>H552</f>
        <v>4.38</v>
      </c>
      <c r="J552" s="98"/>
      <c r="K552" s="258"/>
      <c r="L552" s="258"/>
      <c r="M552" s="258"/>
      <c r="N552" s="258"/>
      <c r="O552" s="258"/>
      <c r="P552" s="259"/>
      <c r="Q552" s="320"/>
      <c r="R552" s="320"/>
      <c r="S552" s="320"/>
      <c r="T552" s="320"/>
      <c r="U552" s="320"/>
      <c r="V552" s="320"/>
    </row>
    <row r="553" spans="1:22" s="217" customFormat="1">
      <c r="A553" s="252"/>
      <c r="B553" s="39"/>
      <c r="C553" s="253" t="s">
        <v>429</v>
      </c>
      <c r="D553" s="254"/>
      <c r="E553" s="255"/>
      <c r="F553" s="255"/>
      <c r="G553" s="257"/>
      <c r="H553" s="257">
        <v>4.38</v>
      </c>
      <c r="I553" s="257">
        <f>H553</f>
        <v>4.38</v>
      </c>
      <c r="J553" s="98"/>
      <c r="K553" s="258"/>
      <c r="L553" s="258"/>
      <c r="M553" s="258"/>
      <c r="N553" s="258"/>
      <c r="O553" s="258"/>
      <c r="P553" s="259"/>
      <c r="Q553" s="320"/>
      <c r="R553" s="320"/>
      <c r="S553" s="320"/>
      <c r="T553" s="320"/>
      <c r="U553" s="320"/>
      <c r="V553" s="320"/>
    </row>
    <row r="554" spans="1:22" s="217" customFormat="1">
      <c r="A554" s="252"/>
      <c r="B554" s="39"/>
      <c r="C554" s="253" t="s">
        <v>430</v>
      </c>
      <c r="D554" s="254"/>
      <c r="E554" s="255"/>
      <c r="F554" s="255"/>
      <c r="G554" s="257"/>
      <c r="H554" s="257">
        <v>4.38</v>
      </c>
      <c r="I554" s="257">
        <f>H554</f>
        <v>4.38</v>
      </c>
      <c r="J554" s="98"/>
      <c r="K554" s="258"/>
      <c r="L554" s="258"/>
      <c r="M554" s="258"/>
      <c r="N554" s="258"/>
      <c r="O554" s="258"/>
      <c r="P554" s="259"/>
      <c r="Q554" s="320"/>
      <c r="R554" s="320"/>
      <c r="S554" s="320"/>
      <c r="T554" s="320"/>
      <c r="U554" s="320"/>
      <c r="V554" s="320"/>
    </row>
    <row r="555" spans="1:22" s="217" customFormat="1">
      <c r="A555" s="252"/>
      <c r="B555" s="39"/>
      <c r="C555" s="253"/>
      <c r="D555" s="254"/>
      <c r="E555" s="255"/>
      <c r="F555" s="255"/>
      <c r="G555" s="257"/>
      <c r="H555" s="312"/>
      <c r="I555" s="312"/>
      <c r="J555" s="98"/>
      <c r="K555" s="258"/>
      <c r="L555" s="258"/>
      <c r="M555" s="258"/>
      <c r="N555" s="258"/>
      <c r="O555" s="258"/>
      <c r="P555" s="259"/>
      <c r="Q555" s="320"/>
      <c r="R555" s="320"/>
      <c r="S555" s="320"/>
      <c r="T555" s="320"/>
      <c r="U555" s="320"/>
      <c r="V555" s="320"/>
    </row>
    <row r="556" spans="1:22" s="217" customFormat="1">
      <c r="A556" s="252"/>
      <c r="B556" s="39"/>
      <c r="C556" s="253"/>
      <c r="D556" s="254"/>
      <c r="E556" s="257"/>
      <c r="F556" s="257"/>
      <c r="G556" s="257"/>
      <c r="H556" s="263" t="s">
        <v>253</v>
      </c>
      <c r="I556" s="380">
        <f>SUM(I550:I555)</f>
        <v>36.620000000000005</v>
      </c>
      <c r="J556" s="98"/>
      <c r="K556" s="258"/>
      <c r="L556" s="258"/>
      <c r="M556" s="258"/>
      <c r="N556" s="258"/>
      <c r="O556" s="258"/>
      <c r="P556" s="259"/>
      <c r="Q556" s="320"/>
      <c r="R556" s="320"/>
      <c r="S556" s="320"/>
      <c r="T556" s="320"/>
      <c r="U556" s="320"/>
      <c r="V556" s="320"/>
    </row>
    <row r="557" spans="1:22" s="217" customFormat="1">
      <c r="A557" s="252"/>
      <c r="B557" s="267"/>
      <c r="C557" s="253"/>
      <c r="D557" s="254"/>
      <c r="E557" s="257"/>
      <c r="F557" s="257"/>
      <c r="G557" s="257"/>
      <c r="H557" s="257"/>
      <c r="I557" s="257"/>
      <c r="J557" s="98"/>
      <c r="K557" s="258"/>
      <c r="L557" s="258"/>
      <c r="M557" s="258"/>
      <c r="N557" s="258"/>
      <c r="O557" s="258"/>
      <c r="P557" s="259"/>
      <c r="Q557" s="320"/>
      <c r="R557" s="320"/>
      <c r="S557" s="320"/>
      <c r="T557" s="320"/>
      <c r="U557" s="320"/>
      <c r="V557" s="320"/>
    </row>
    <row r="558" spans="1:22" s="217" customFormat="1" ht="15" customHeight="1">
      <c r="A558" s="252" t="s">
        <v>180</v>
      </c>
      <c r="B558" s="398">
        <v>9537</v>
      </c>
      <c r="C558" s="38" t="str">
        <f>VLOOKUP($B558,SINAPI!$C$6:J6257,2,0)</f>
        <v>LIMPEZA FINAL DA OBRA</v>
      </c>
      <c r="D558" s="39" t="str">
        <f>VLOOKUP($B558,SINAPI!$C$6:K6257,3,0)</f>
        <v>M2</v>
      </c>
      <c r="E558" s="257"/>
      <c r="F558" s="257"/>
      <c r="G558" s="257"/>
      <c r="H558" s="257"/>
      <c r="I558" s="250">
        <f>I567</f>
        <v>191.85</v>
      </c>
      <c r="J558" s="98"/>
      <c r="K558" s="245">
        <f>VLOOKUP($B558,SINAPI!$C$6:R6257,4,0)</f>
        <v>1.76</v>
      </c>
      <c r="L558" s="245"/>
      <c r="M558" s="245"/>
      <c r="N558" s="245"/>
      <c r="O558" s="245"/>
      <c r="P558" s="246">
        <f>SUM(K558:O558)</f>
        <v>1.76</v>
      </c>
      <c r="Q558" s="320"/>
      <c r="R558" s="320"/>
      <c r="S558" s="320"/>
      <c r="T558" s="320"/>
      <c r="U558" s="320"/>
      <c r="V558" s="320"/>
    </row>
    <row r="559" spans="1:22" s="217" customFormat="1">
      <c r="A559" s="252"/>
      <c r="B559" s="39"/>
      <c r="C559" s="253"/>
      <c r="D559" s="254"/>
      <c r="E559" s="257"/>
      <c r="F559" s="257"/>
      <c r="G559" s="257"/>
      <c r="H559" s="257"/>
      <c r="I559" s="257"/>
      <c r="J559" s="320"/>
      <c r="K559" s="258"/>
      <c r="L559" s="258"/>
      <c r="M559" s="258"/>
      <c r="N559" s="258"/>
      <c r="O559" s="258"/>
      <c r="P559" s="259"/>
      <c r="Q559" s="320"/>
      <c r="R559" s="320"/>
      <c r="S559" s="320"/>
      <c r="T559" s="320"/>
      <c r="U559" s="320"/>
      <c r="V559" s="320"/>
    </row>
    <row r="560" spans="1:22" s="217" customFormat="1">
      <c r="A560" s="252"/>
      <c r="B560" s="39"/>
      <c r="C560" s="310" t="s">
        <v>431</v>
      </c>
      <c r="D560" s="267"/>
      <c r="E560" s="250"/>
      <c r="F560" s="250"/>
      <c r="G560" s="387"/>
      <c r="H560" s="387">
        <v>50.73</v>
      </c>
      <c r="I560" s="257">
        <f t="shared" ref="I560:I565" si="10">PRODUCT(E560:H560)</f>
        <v>50.73</v>
      </c>
      <c r="J560" s="320"/>
      <c r="K560" s="258"/>
      <c r="L560" s="258"/>
      <c r="M560" s="258"/>
      <c r="N560" s="258"/>
      <c r="O560" s="258"/>
      <c r="P560" s="259"/>
      <c r="Q560" s="320"/>
      <c r="R560" s="320"/>
      <c r="S560" s="320"/>
      <c r="T560" s="320"/>
      <c r="U560" s="320"/>
      <c r="V560" s="320"/>
    </row>
    <row r="561" spans="1:22" s="217" customFormat="1">
      <c r="A561" s="252"/>
      <c r="B561" s="39"/>
      <c r="C561" s="310"/>
      <c r="D561" s="267"/>
      <c r="E561" s="250"/>
      <c r="F561" s="250"/>
      <c r="G561" s="250"/>
      <c r="H561" s="357">
        <v>45.09</v>
      </c>
      <c r="I561" s="257">
        <f t="shared" si="10"/>
        <v>45.09</v>
      </c>
      <c r="J561" s="320"/>
      <c r="K561" s="258"/>
      <c r="L561" s="258"/>
      <c r="M561" s="258"/>
      <c r="N561" s="258"/>
      <c r="O561" s="258"/>
      <c r="P561" s="259"/>
      <c r="Q561" s="320"/>
      <c r="R561" s="320"/>
      <c r="S561" s="320"/>
      <c r="T561" s="320"/>
      <c r="U561" s="320"/>
      <c r="V561" s="320"/>
    </row>
    <row r="562" spans="1:22" s="217" customFormat="1">
      <c r="A562" s="252"/>
      <c r="B562" s="39"/>
      <c r="C562" s="310"/>
      <c r="D562" s="267"/>
      <c r="E562" s="250"/>
      <c r="F562" s="250"/>
      <c r="G562" s="250"/>
      <c r="H562" s="357"/>
      <c r="I562" s="257">
        <f t="shared" si="10"/>
        <v>0</v>
      </c>
      <c r="J562" s="320"/>
      <c r="K562" s="258"/>
      <c r="L562" s="258"/>
      <c r="M562" s="258"/>
      <c r="N562" s="258"/>
      <c r="O562" s="258"/>
      <c r="P562" s="259"/>
      <c r="Q562" s="320"/>
      <c r="R562" s="320"/>
      <c r="S562" s="320"/>
      <c r="T562" s="320"/>
      <c r="U562" s="320"/>
      <c r="V562" s="320"/>
    </row>
    <row r="563" spans="1:22" s="217" customFormat="1">
      <c r="A563" s="252"/>
      <c r="B563" s="39"/>
      <c r="C563" s="310" t="s">
        <v>432</v>
      </c>
      <c r="D563" s="267"/>
      <c r="E563" s="250"/>
      <c r="F563" s="250"/>
      <c r="G563" s="250"/>
      <c r="H563" s="357">
        <v>46</v>
      </c>
      <c r="I563" s="257">
        <f t="shared" si="10"/>
        <v>46</v>
      </c>
      <c r="J563" s="320"/>
      <c r="K563" s="258"/>
      <c r="L563" s="258"/>
      <c r="M563" s="258"/>
      <c r="N563" s="258"/>
      <c r="O563" s="258"/>
      <c r="P563" s="259"/>
      <c r="Q563" s="320"/>
      <c r="R563" s="320"/>
      <c r="S563" s="320"/>
      <c r="T563" s="320"/>
      <c r="U563" s="320"/>
      <c r="V563" s="320"/>
    </row>
    <row r="564" spans="1:22" s="217" customFormat="1">
      <c r="A564" s="252"/>
      <c r="B564" s="39"/>
      <c r="C564" s="38"/>
      <c r="D564" s="267"/>
      <c r="E564" s="250"/>
      <c r="F564" s="250"/>
      <c r="G564" s="250"/>
      <c r="H564" s="357">
        <v>50.03</v>
      </c>
      <c r="I564" s="257">
        <f t="shared" si="10"/>
        <v>50.03</v>
      </c>
      <c r="J564" s="320"/>
      <c r="K564" s="258"/>
      <c r="L564" s="258"/>
      <c r="M564" s="258"/>
      <c r="N564" s="258"/>
      <c r="O564" s="258"/>
      <c r="P564" s="259"/>
      <c r="Q564" s="320"/>
      <c r="R564" s="320"/>
      <c r="S564" s="320"/>
      <c r="T564" s="320"/>
      <c r="U564" s="320"/>
      <c r="V564" s="320"/>
    </row>
    <row r="565" spans="1:22" s="217" customFormat="1">
      <c r="A565" s="252"/>
      <c r="B565" s="39"/>
      <c r="C565" s="289"/>
      <c r="D565" s="267"/>
      <c r="E565" s="250"/>
      <c r="F565" s="250"/>
      <c r="G565" s="250"/>
      <c r="H565" s="357"/>
      <c r="I565" s="257">
        <f t="shared" si="10"/>
        <v>0</v>
      </c>
      <c r="J565" s="320"/>
      <c r="K565" s="258"/>
      <c r="L565" s="258"/>
      <c r="M565" s="258"/>
      <c r="N565" s="258"/>
      <c r="O565" s="258"/>
      <c r="P565" s="259"/>
      <c r="Q565" s="320"/>
      <c r="R565" s="320"/>
      <c r="S565" s="320"/>
      <c r="T565" s="320"/>
      <c r="U565" s="320"/>
      <c r="V565" s="320"/>
    </row>
    <row r="566" spans="1:22" s="217" customFormat="1">
      <c r="A566" s="252"/>
      <c r="B566" s="39"/>
      <c r="C566" s="282"/>
      <c r="D566" s="267"/>
      <c r="E566" s="250"/>
      <c r="F566" s="250"/>
      <c r="G566" s="250"/>
      <c r="H566" s="399"/>
      <c r="I566" s="312"/>
      <c r="J566" s="320"/>
      <c r="K566" s="258"/>
      <c r="L566" s="258"/>
      <c r="M566" s="258"/>
      <c r="N566" s="258"/>
      <c r="O566" s="258"/>
      <c r="P566" s="259"/>
      <c r="Q566" s="320"/>
      <c r="R566" s="320"/>
      <c r="S566" s="320"/>
      <c r="T566" s="320"/>
      <c r="U566" s="320"/>
      <c r="V566" s="320"/>
    </row>
    <row r="567" spans="1:22">
      <c r="A567" s="252"/>
      <c r="B567" s="39"/>
      <c r="C567" s="253"/>
      <c r="D567" s="254"/>
      <c r="E567" s="257"/>
      <c r="F567" s="257"/>
      <c r="G567" s="257"/>
      <c r="H567" s="263" t="s">
        <v>253</v>
      </c>
      <c r="I567" s="380">
        <f>SUM(I560:I565)</f>
        <v>191.85</v>
      </c>
      <c r="J567" s="320"/>
      <c r="K567" s="258"/>
      <c r="L567" s="258"/>
      <c r="M567" s="258"/>
      <c r="N567" s="258"/>
      <c r="O567" s="258"/>
      <c r="P567" s="259"/>
      <c r="Q567" s="247"/>
      <c r="R567" s="247"/>
      <c r="S567" s="247"/>
      <c r="T567" s="247"/>
      <c r="U567" s="247"/>
      <c r="V567" s="247"/>
    </row>
    <row r="568" spans="1:22">
      <c r="A568" s="400"/>
      <c r="B568" s="313"/>
      <c r="C568" s="401"/>
      <c r="D568" s="402"/>
      <c r="E568" s="262"/>
      <c r="F568" s="262"/>
      <c r="G568" s="262"/>
      <c r="H568" s="262"/>
      <c r="I568" s="262">
        <f>PRODUCT(E568:H568)</f>
        <v>0</v>
      </c>
      <c r="J568" s="320"/>
      <c r="K568" s="361"/>
      <c r="L568" s="361"/>
      <c r="M568" s="361"/>
      <c r="N568" s="361"/>
      <c r="O568" s="361"/>
      <c r="P568" s="361"/>
      <c r="Q568" s="247"/>
      <c r="R568" s="247"/>
      <c r="S568" s="247"/>
      <c r="T568" s="247"/>
      <c r="U568" s="247"/>
      <c r="V568" s="247"/>
    </row>
    <row r="569" spans="1:22">
      <c r="A569" s="403"/>
      <c r="B569" s="404"/>
      <c r="C569" s="405"/>
      <c r="D569" s="406"/>
      <c r="E569" s="407"/>
      <c r="F569" s="407"/>
      <c r="G569" s="407"/>
      <c r="H569" s="408"/>
      <c r="I569" s="409"/>
      <c r="J569" s="410"/>
      <c r="K569" s="411"/>
      <c r="L569" s="405"/>
      <c r="M569" s="405"/>
      <c r="N569" s="405"/>
      <c r="O569" s="405"/>
      <c r="P569" s="412"/>
    </row>
    <row r="570" spans="1:22">
      <c r="A570" s="413"/>
      <c r="B570" s="414"/>
    </row>
    <row r="571" spans="1:22">
      <c r="A571" s="413"/>
      <c r="B571" s="414"/>
    </row>
    <row r="572" spans="1:22">
      <c r="A572" s="776" t="str">
        <f>RESUMO!C26</f>
        <v xml:space="preserve"> Moreno, março de 2016</v>
      </c>
      <c r="B572" s="776"/>
      <c r="C572" s="776"/>
      <c r="D572" s="776"/>
      <c r="E572" s="776"/>
      <c r="F572" s="776"/>
      <c r="G572" s="776"/>
      <c r="H572" s="776"/>
      <c r="I572" s="776"/>
    </row>
    <row r="573" spans="1:22">
      <c r="A573" s="413"/>
      <c r="C573" s="113"/>
    </row>
    <row r="574" spans="1:22">
      <c r="B574" s="413"/>
      <c r="C574" s="415" t="s">
        <v>255</v>
      </c>
    </row>
    <row r="575" spans="1:22">
      <c r="B575" s="416"/>
      <c r="C575" s="192" t="s">
        <v>256</v>
      </c>
    </row>
    <row r="576" spans="1:22">
      <c r="B576" s="416"/>
      <c r="C576" s="192" t="s">
        <v>257</v>
      </c>
    </row>
  </sheetData>
  <sheetProtection selectLockedCells="1" selectUnlockedCells="1"/>
  <mergeCells count="4">
    <mergeCell ref="A1:I1"/>
    <mergeCell ref="K1:P1"/>
    <mergeCell ref="B3:E3"/>
    <mergeCell ref="A572:I572"/>
  </mergeCells>
  <pageMargins left="0.51180555555555551" right="0.51180555555555551" top="0.78749999999999998" bottom="0.78749999999999998" header="0.51180555555555551" footer="0.31527777777777777"/>
  <pageSetup paperSize="9" scale="61" firstPageNumber="0" orientation="portrait" horizontalDpi="300" verticalDpi="300" r:id="rId1"/>
  <headerFooter alignWithMargins="0">
    <oddFooter>&amp;L&amp;A&amp;CPágina &amp;P de &amp;N&amp;RAntônio Nunes da Silva Filho
Eng. Civil - CREA 16.122 - D/PE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GridLines="0" view="pageBreakPreview" topLeftCell="A6" zoomScale="85" zoomScaleSheetLayoutView="85" workbookViewId="0">
      <selection activeCell="F99" sqref="F99"/>
    </sheetView>
  </sheetViews>
  <sheetFormatPr defaultRowHeight="15"/>
  <cols>
    <col min="1" max="1" width="11" style="192" customWidth="1"/>
    <col min="2" max="2" width="16.28515625" style="192" customWidth="1"/>
    <col min="3" max="3" width="13.28515625" style="192" customWidth="1"/>
    <col min="4" max="4" width="64.140625" style="192" customWidth="1"/>
    <col min="5" max="5" width="6.42578125" style="192" customWidth="1"/>
    <col min="6" max="6" width="17.140625" style="192" customWidth="1"/>
    <col min="7" max="7" width="17.5703125" style="192" customWidth="1"/>
    <col min="8" max="8" width="19.42578125" style="192" customWidth="1"/>
    <col min="9" max="9" width="9.140625" style="417" customWidth="1"/>
    <col min="10" max="10" width="14.28515625" style="417" customWidth="1"/>
    <col min="11" max="11" width="9.140625" style="417" customWidth="1"/>
    <col min="12" max="16384" width="9.140625" style="113"/>
  </cols>
  <sheetData>
    <row r="1" spans="1:11">
      <c r="A1" s="418"/>
      <c r="B1" s="128"/>
      <c r="C1" s="128"/>
      <c r="D1" s="128"/>
      <c r="E1" s="128"/>
      <c r="F1" s="128"/>
      <c r="G1" s="128"/>
      <c r="H1" s="128"/>
    </row>
    <row r="2" spans="1:11">
      <c r="A2" s="770" t="s">
        <v>433</v>
      </c>
      <c r="B2" s="770"/>
      <c r="C2" s="770"/>
      <c r="D2" s="770"/>
      <c r="E2" s="770"/>
      <c r="F2" s="770"/>
      <c r="G2" s="770"/>
      <c r="H2" s="770"/>
    </row>
    <row r="3" spans="1:11">
      <c r="A3" s="418"/>
      <c r="B3" s="129"/>
      <c r="C3" s="129"/>
      <c r="D3" s="129"/>
      <c r="E3" s="129"/>
      <c r="F3" s="129"/>
      <c r="G3" s="129"/>
      <c r="H3" s="129"/>
    </row>
    <row r="4" spans="1:11" ht="15" customHeight="1">
      <c r="A4" s="130" t="s">
        <v>259</v>
      </c>
      <c r="B4" s="771" t="str">
        <f>RESUMO!B7</f>
        <v>Construção dos pórticos de acesso a cidade de Moreno</v>
      </c>
      <c r="C4" s="771"/>
      <c r="D4" s="771"/>
      <c r="E4" s="781" t="s">
        <v>260</v>
      </c>
      <c r="F4" s="781"/>
      <c r="G4" s="222" t="str">
        <f>RESUMO!E7</f>
        <v>Moreno/PE</v>
      </c>
      <c r="H4" s="129"/>
    </row>
    <row r="5" spans="1:11" ht="15" customHeight="1">
      <c r="A5" s="130" t="s">
        <v>261</v>
      </c>
      <c r="B5" s="132" t="str">
        <f>RESUMO!B8</f>
        <v>Moreno - PE</v>
      </c>
      <c r="C5" s="418"/>
      <c r="D5" s="132"/>
      <c r="E5" s="781" t="s">
        <v>248</v>
      </c>
      <c r="F5" s="781"/>
      <c r="G5" s="419">
        <f ca="1">RESUMO!E8</f>
        <v>45054</v>
      </c>
      <c r="H5" s="129"/>
    </row>
    <row r="6" spans="1:11">
      <c r="A6" s="418"/>
      <c r="B6" s="130"/>
      <c r="C6" s="134"/>
      <c r="D6" s="135"/>
      <c r="E6" s="136"/>
      <c r="F6" s="773"/>
      <c r="G6" s="773"/>
      <c r="H6" s="773"/>
    </row>
    <row r="7" spans="1:11" ht="15" customHeight="1">
      <c r="A7" s="766" t="s">
        <v>0</v>
      </c>
      <c r="B7" s="766" t="s">
        <v>262</v>
      </c>
      <c r="C7" s="766" t="s">
        <v>263</v>
      </c>
      <c r="D7" s="766" t="s">
        <v>264</v>
      </c>
      <c r="E7" s="766" t="s">
        <v>265</v>
      </c>
      <c r="F7" s="775" t="s">
        <v>266</v>
      </c>
      <c r="G7" s="766" t="s">
        <v>434</v>
      </c>
      <c r="H7" s="766"/>
      <c r="J7" s="420">
        <v>1</v>
      </c>
      <c r="K7" s="421" t="s">
        <v>269</v>
      </c>
    </row>
    <row r="8" spans="1:11">
      <c r="A8" s="766"/>
      <c r="B8" s="766"/>
      <c r="C8" s="766"/>
      <c r="D8" s="766"/>
      <c r="E8" s="766"/>
      <c r="F8" s="775"/>
      <c r="G8" s="108" t="s">
        <v>435</v>
      </c>
      <c r="H8" s="108" t="s">
        <v>436</v>
      </c>
      <c r="J8" s="420"/>
      <c r="K8" s="422">
        <v>0.28000000000000003</v>
      </c>
    </row>
    <row r="9" spans="1:11">
      <c r="A9" s="141" t="s">
        <v>6</v>
      </c>
      <c r="B9" s="141"/>
      <c r="C9" s="141"/>
      <c r="D9" s="423" t="str">
        <f>VLOOKUP($A9,'ANEXO XVII- MEMORIA DE CALCULO'!$A$1:$P8694,3,0)</f>
        <v>ADMINISTRAÇÃO DA OBRA</v>
      </c>
      <c r="E9" s="141"/>
      <c r="F9" s="141"/>
      <c r="G9" s="143">
        <f>SUM(H10:H11)</f>
        <v>50172.831536231883</v>
      </c>
      <c r="H9" s="141"/>
    </row>
    <row r="10" spans="1:11" s="426" customFormat="1">
      <c r="A10" s="144" t="s">
        <v>8</v>
      </c>
      <c r="B10" s="145" t="str">
        <f>'ANEXO VI- Planilha Orçamentária'!B10</f>
        <v>COMPOSIÇÃO</v>
      </c>
      <c r="C10" s="146" t="str">
        <f>VLOOKUP($A10,'ANEXO XVII- MEMORIA DE CALCULO'!$A$1:$P8713,2,0)</f>
        <v>CPU 01</v>
      </c>
      <c r="D10" s="147" t="str">
        <f>VLOOKUP($A10,'ANEXO XVII- MEMORIA DE CALCULO'!$A$1:$P8713,3,0)</f>
        <v xml:space="preserve">ADMINISTRAÇÃO LOCAL DA OBRA </v>
      </c>
      <c r="E10" s="146" t="str">
        <f>VLOOKUP($A10,'ANEXO XVII- MEMORIA DE CALCULO'!$A$1:$P8713,4,0)</f>
        <v>MÊS</v>
      </c>
      <c r="F10" s="148">
        <f>VLOOKUP($A10,'ANEXO XVII- MEMORIA DE CALCULO'!$A$1:$P8686,9,0)</f>
        <v>4</v>
      </c>
      <c r="G10" s="424">
        <f>VLOOKUP($A10,'ANEXO XVII- MEMORIA DE CALCULO'!$A$1:$P8713,16,0)*$J$7</f>
        <v>12543.207884057971</v>
      </c>
      <c r="H10" s="424">
        <f>F10*G10</f>
        <v>50172.831536231883</v>
      </c>
      <c r="I10" s="417"/>
      <c r="J10" s="425"/>
      <c r="K10" s="425"/>
    </row>
    <row r="11" spans="1:11" s="426" customFormat="1">
      <c r="A11" s="151"/>
      <c r="B11" s="152"/>
      <c r="C11" s="153"/>
      <c r="D11" s="154"/>
      <c r="E11" s="153"/>
      <c r="F11" s="155"/>
      <c r="G11" s="427"/>
      <c r="H11" s="428"/>
      <c r="I11" s="417"/>
      <c r="J11" s="425"/>
      <c r="K11" s="425"/>
    </row>
    <row r="12" spans="1:11" s="426" customFormat="1">
      <c r="A12" s="141" t="s">
        <v>11</v>
      </c>
      <c r="B12" s="141"/>
      <c r="C12" s="141"/>
      <c r="D12" s="423" t="str">
        <f>VLOOKUP($A12,'ANEXO XVII- MEMORIA DE CALCULO'!$A$1:$P8697,3,0)</f>
        <v>SERVIÇOS PRELIMINARES</v>
      </c>
      <c r="E12" s="141"/>
      <c r="F12" s="141"/>
      <c r="G12" s="143">
        <f>SUM(H13:H22)</f>
        <v>34728.69281</v>
      </c>
      <c r="H12" s="141"/>
      <c r="I12" s="417"/>
      <c r="J12" s="425"/>
      <c r="K12" s="425"/>
    </row>
    <row r="13" spans="1:11" s="426" customFormat="1" ht="36">
      <c r="A13" s="144" t="s">
        <v>13</v>
      </c>
      <c r="B13" s="145" t="str">
        <f>'ANEXO VI- Planilha Orçamentária'!B13</f>
        <v>SINAPI NACIONAL</v>
      </c>
      <c r="C13" s="146" t="str">
        <f>VLOOKUP($A13,'ANEXO XVII- MEMORIA DE CALCULO'!$A$1:$P8713,2,0)</f>
        <v>74210/001</v>
      </c>
      <c r="D13" s="147" t="str">
        <f>VLOOKUP($A13,'ANEXO XVII- MEMORIA DE CALCULO'!$A$1:$P8713,3,0)</f>
        <v>BARRACAO PARA DEPOSITO EM TABUAS DE MADEIRA, COBERTURA EM FIBROCIMENTO 4 MM, INCLUSO PISO ARGAMASSA TRAÇO 1:6 (CIMENTO E AREIA)</v>
      </c>
      <c r="E13" s="146" t="str">
        <f>VLOOKUP($A13,'ANEXO XVII- MEMORIA DE CALCULO'!$A$1:$P8713,4,0)</f>
        <v>M2</v>
      </c>
      <c r="F13" s="148">
        <f>VLOOKUP($A13,'ANEXO XVII- MEMORIA DE CALCULO'!$A$1:$P8686,9,0)</f>
        <v>12</v>
      </c>
      <c r="G13" s="424">
        <f>VLOOKUP($A13,'ANEXO XVII- MEMORIA DE CALCULO'!$A$1:$P8713,16,0)*$J$7</f>
        <v>280.85000000000002</v>
      </c>
      <c r="H13" s="424">
        <f t="shared" ref="H13:H21" si="0">F13*G13</f>
        <v>3370.2000000000003</v>
      </c>
      <c r="I13" s="425"/>
      <c r="J13" s="425"/>
      <c r="K13" s="425"/>
    </row>
    <row r="14" spans="1:11" s="426" customFormat="1" ht="36">
      <c r="A14" s="144" t="s">
        <v>18</v>
      </c>
      <c r="B14" s="145" t="str">
        <f>'ANEXO VI- Planilha Orçamentária'!B14</f>
        <v>SINAPI NACIONAL</v>
      </c>
      <c r="C14" s="146" t="str">
        <f>VLOOKUP($A14,'ANEXO XVII- MEMORIA DE CALCULO'!$A$1:$P8714,2,0)</f>
        <v>73805/001</v>
      </c>
      <c r="D14" s="147" t="str">
        <f>VLOOKUP($A14,'ANEXO XVII- MEMORIA DE CALCULO'!$A$1:$P8714,3,0)</f>
        <v>BARRACAO DE OBRA PARA ALOJAMENTO/ESCRITORIO, PISO EM PINHO 3A, PAREDES EM COMPENSADO 10MM, COBERTURA EM TELHA AMIANTO 6MM, INCLUSO INSTALACOES ELETRICAS E ESQUADRIAS</v>
      </c>
      <c r="E14" s="146" t="str">
        <f>VLOOKUP($A14,'ANEXO XVII- MEMORIA DE CALCULO'!$A$1:$P8714,4,0)</f>
        <v>M2</v>
      </c>
      <c r="F14" s="148">
        <f>VLOOKUP($A14,'ANEXO XVII- MEMORIA DE CALCULO'!$A$1:$P8687,9,0)</f>
        <v>9</v>
      </c>
      <c r="G14" s="424">
        <f>VLOOKUP($A14,'ANEXO XVII- MEMORIA DE CALCULO'!$A$1:$P8714,16,0)*$J$7</f>
        <v>257.13</v>
      </c>
      <c r="H14" s="424">
        <f t="shared" si="0"/>
        <v>2314.17</v>
      </c>
      <c r="I14" s="425"/>
      <c r="J14" s="425"/>
      <c r="K14" s="425"/>
    </row>
    <row r="15" spans="1:11" s="426" customFormat="1" ht="60">
      <c r="A15" s="144" t="s">
        <v>21</v>
      </c>
      <c r="B15" s="145" t="str">
        <f>'ANEXO VI- Planilha Orçamentária'!B15</f>
        <v>SINAPI NACIONAL</v>
      </c>
      <c r="C15" s="146" t="str">
        <f>VLOOKUP($A15,'ANEXO XVII- MEMORIA DE CALCULO'!$A$1:$P8717,2,0)</f>
        <v>73752/001</v>
      </c>
      <c r="D15" s="147" t="str">
        <f>VLOOKUP($A15,'ANEXO XVII- MEMORIA DE CALCULO'!$A$1:$P8717,3,0)</f>
        <v>SANITARIO COM VASO E CHUVEIRO PARA PESSOAL DE OBRA, COLETIVO DE 2 MODULOS E 4M2, PAREDES CHAPAS DE MADEIRA COMPENSADA PLASTIFICADA 10MM, TELHAS ONDULADAS DE 6MM DE FIBROCIMENTO, INCLUSIVE INSTALACAO E APARELHOS, REAPROVEITADO 2 VEZES (INSTALACOES E APARE</v>
      </c>
      <c r="E15" s="146" t="str">
        <f>VLOOKUP($A15,'ANEXO XVII- MEMORIA DE CALCULO'!$A$1:$P8717,4,0)</f>
        <v>UN</v>
      </c>
      <c r="F15" s="148">
        <f>VLOOKUP($A15,'ANEXO XVII- MEMORIA DE CALCULO'!$A$1:$P8688,9,0)</f>
        <v>1</v>
      </c>
      <c r="G15" s="424">
        <f>VLOOKUP($A15,'ANEXO XVII- MEMORIA DE CALCULO'!$A$1:$P8717,16,0)*$J$7</f>
        <v>3279.39</v>
      </c>
      <c r="H15" s="424">
        <f t="shared" si="0"/>
        <v>3279.39</v>
      </c>
      <c r="I15" s="425"/>
      <c r="J15" s="425"/>
      <c r="K15" s="425"/>
    </row>
    <row r="16" spans="1:11" s="426" customFormat="1" ht="24">
      <c r="A16" s="144" t="s">
        <v>24</v>
      </c>
      <c r="B16" s="145" t="str">
        <f>'ANEXO VI- Planilha Orçamentária'!B16</f>
        <v>SINAPI NACIONAL</v>
      </c>
      <c r="C16" s="146" t="str">
        <f>VLOOKUP($A16,'ANEXO XVII- MEMORIA DE CALCULO'!$A$1:$P8719,2,0)</f>
        <v>73960/001</v>
      </c>
      <c r="D16" s="147" t="str">
        <f>VLOOKUP($A16,'ANEXO XVII- MEMORIA DE CALCULO'!$A$1:$P8719,3,0)</f>
        <v>INSTAL/LIGACAO PROVISORIA ELETRICA BAIXA TENSAO P/CANT OBRA OBRA,M3-CHAVE 100A CARGA 3KWH,20CV EXCL FORN MEDIDOR</v>
      </c>
      <c r="E16" s="146" t="str">
        <f>VLOOKUP($A16,'ANEXO XVII- MEMORIA DE CALCULO'!$A$1:$P8719,4,0)</f>
        <v>UN</v>
      </c>
      <c r="F16" s="148">
        <f>VLOOKUP($A16,'ANEXO XVII- MEMORIA DE CALCULO'!$A$1:$P8689,9,0)</f>
        <v>1</v>
      </c>
      <c r="G16" s="424">
        <f>VLOOKUP($A16,'ANEXO XVII- MEMORIA DE CALCULO'!$A$1:$P8719,16,0)*$J$7</f>
        <v>1354.62</v>
      </c>
      <c r="H16" s="424">
        <f t="shared" si="0"/>
        <v>1354.62</v>
      </c>
      <c r="I16" s="425"/>
      <c r="J16" s="425"/>
      <c r="K16" s="425"/>
    </row>
    <row r="17" spans="1:11" s="426" customFormat="1" ht="60">
      <c r="A17" s="144" t="s">
        <v>27</v>
      </c>
      <c r="B17" s="145" t="str">
        <f>'ANEXO VI- Planilha Orçamentária'!B17</f>
        <v>COMPOSIÇÃO</v>
      </c>
      <c r="C17" s="146" t="str">
        <f>VLOOKUP($A17,'ANEXO XVII- MEMORIA DE CALCULO'!$A$1:$P8721,2,0)</f>
        <v>CPU 1.007</v>
      </c>
      <c r="D17" s="147" t="str">
        <f>VLOOKUP($A17,'ANEXO XVII- MEMORIA DE CALCULO'!$A$1:$P8721,3,0)</f>
        <v>LIGAÇÃO DOMICILIAR DE ÁGUA, DA REDE AO HIDRÔMETRO, COMPOSTO POR COLAR DE TOMADA DE PVC COM TRAVAS DE 50MMX1/2, ADAPTADOR PVC SOLDÁVEL/ROSCA 20MMX1/2, TUBO PVC SOLDÁVEL ÁGUA FRIA 20MM E REGISTRO DE PVC ESFERA ROSCÁVEL 1/2 - FORNECIMENTO E INSTALAÇÃO</v>
      </c>
      <c r="E17" s="146" t="str">
        <f>VLOOKUP($A17,'ANEXO XVII- MEMORIA DE CALCULO'!$A$1:$P8721,4,0)</f>
        <v>UN</v>
      </c>
      <c r="F17" s="148">
        <f>VLOOKUP($A17,'ANEXO XVII- MEMORIA DE CALCULO'!$A$1:$P8690,9,0)</f>
        <v>1</v>
      </c>
      <c r="G17" s="424">
        <f>VLOOKUP($A17,'ANEXO XVII- MEMORIA DE CALCULO'!$A$1:$P8721,16,0)*$J$7</f>
        <v>897.07</v>
      </c>
      <c r="H17" s="424">
        <f t="shared" si="0"/>
        <v>897.07</v>
      </c>
      <c r="I17" s="425"/>
      <c r="J17" s="425"/>
      <c r="K17" s="425"/>
    </row>
    <row r="18" spans="1:11" s="426" customFormat="1" ht="60">
      <c r="A18" s="144" t="s">
        <v>31</v>
      </c>
      <c r="B18" s="145" t="str">
        <f>'ANEXO VI- Planilha Orçamentária'!B18</f>
        <v>SINAPI NACIONAL</v>
      </c>
      <c r="C18" s="146" t="str">
        <f>VLOOKUP($A18,'ANEXO XVII- MEMORIA DE CALCULO'!$A$1:$P8722,2,0)</f>
        <v>73784/001</v>
      </c>
      <c r="D18" s="147" t="str">
        <f>VLOOKUP($A18,'ANEXO XVII- MEMORIA DE CALCULO'!$A$1:$P8722,3,0)</f>
        <v xml:space="preserve">LIGAÇÃO DE ESGOTO EM TUBO PVC ESGOTO SÉRIE-R DN 100MM, DA CAIXA ATÉ A REDE, INCLUINDO ESCAVAÇÃO E REATERRO ATÉ 1,00M, COMPOSTO POR 10,50M DE TUBO PVC SÉRIE-R ESGOTO DN 100MM, JUNÇÃO SIMPLES PVC PARA ESGOTO PREDIAL DN 100X100MM E CURVA PVC 90 GRAUS </v>
      </c>
      <c r="E18" s="146" t="str">
        <f>VLOOKUP($A18,'ANEXO XVII- MEMORIA DE CALCULO'!$A$1:$P8722,4,0)</f>
        <v>UN</v>
      </c>
      <c r="F18" s="148">
        <f>VLOOKUP($A18,'ANEXO XVII- MEMORIA DE CALCULO'!$A$1:$P8691,9,0)</f>
        <v>1</v>
      </c>
      <c r="G18" s="424">
        <f>VLOOKUP($A18,'ANEXO XVII- MEMORIA DE CALCULO'!$A$1:$P8722,16,0)*$J$7</f>
        <v>792.91</v>
      </c>
      <c r="H18" s="424">
        <f t="shared" si="0"/>
        <v>792.91</v>
      </c>
      <c r="I18" s="425"/>
      <c r="J18" s="425"/>
      <c r="K18" s="425"/>
    </row>
    <row r="19" spans="1:11" s="426" customFormat="1">
      <c r="A19" s="144" t="s">
        <v>34</v>
      </c>
      <c r="B19" s="145" t="str">
        <f>'ANEXO VI- Planilha Orçamentária'!B19</f>
        <v>SINAPI NACIONAL</v>
      </c>
      <c r="C19" s="146" t="str">
        <f>VLOOKUP($A19,'ANEXO XVII- MEMORIA DE CALCULO'!$A$1:$P8723,2,0)</f>
        <v>74209/001</v>
      </c>
      <c r="D19" s="147" t="str">
        <f>VLOOKUP($A19,'ANEXO XVII- MEMORIA DE CALCULO'!$A$1:$P8723,3,0)</f>
        <v>PLACA DE OBRA EM CHAPA DE ACO GALVANIZADO</v>
      </c>
      <c r="E19" s="146" t="str">
        <f>VLOOKUP($A19,'ANEXO XVII- MEMORIA DE CALCULO'!$A$1:$P8723,4,0)</f>
        <v>M2</v>
      </c>
      <c r="F19" s="148">
        <f>VLOOKUP($A19,'ANEXO XVII- MEMORIA DE CALCULO'!$A$1:$P8692,9,0)</f>
        <v>20</v>
      </c>
      <c r="G19" s="424">
        <f>VLOOKUP($A19,'ANEXO XVII- MEMORIA DE CALCULO'!$A$1:$P8723,16,0)*$J$7</f>
        <v>332.85</v>
      </c>
      <c r="H19" s="424">
        <f t="shared" si="0"/>
        <v>6657</v>
      </c>
      <c r="I19" s="425"/>
      <c r="J19" s="425"/>
      <c r="K19" s="425"/>
    </row>
    <row r="20" spans="1:11" s="426" customFormat="1" ht="24">
      <c r="A20" s="144" t="s">
        <v>36</v>
      </c>
      <c r="B20" s="145" t="str">
        <f>'ANEXO VI- Planilha Orçamentária'!B20</f>
        <v>SINAPI NACIONAL</v>
      </c>
      <c r="C20" s="146" t="str">
        <f>VLOOKUP($A20,'ANEXO XVII- MEMORIA DE CALCULO'!$A$1:$P8724,2,0)</f>
        <v>74220/001</v>
      </c>
      <c r="D20" s="147" t="str">
        <f>VLOOKUP($A20,'ANEXO XVII- MEMORIA DE CALCULO'!$A$1:$P8724,3,0)</f>
        <v>TAPUME DE CHAPA DE MADEIRA COMPENSADA, E= 6MM, COM PINTURA A CAL E REAPROVEITAMENTO DE 2X</v>
      </c>
      <c r="E20" s="146" t="str">
        <f>VLOOKUP($A20,'ANEXO XVII- MEMORIA DE CALCULO'!$A$1:$P8724,4,0)</f>
        <v>M2</v>
      </c>
      <c r="F20" s="148">
        <f>VLOOKUP($A20,'ANEXO XVII- MEMORIA DE CALCULO'!$A$1:$P8693,9,0)</f>
        <v>369.28500000000003</v>
      </c>
      <c r="G20" s="424">
        <v>41.09</v>
      </c>
      <c r="H20" s="424">
        <f t="shared" si="0"/>
        <v>15173.920650000002</v>
      </c>
      <c r="I20" s="425"/>
      <c r="J20" s="425"/>
      <c r="K20" s="425"/>
    </row>
    <row r="21" spans="1:11" s="426" customFormat="1">
      <c r="A21" s="144" t="s">
        <v>39</v>
      </c>
      <c r="B21" s="145" t="str">
        <f>'ANEXO VI- Planilha Orçamentária'!B21</f>
        <v>SINAPI NACIONAL</v>
      </c>
      <c r="C21" s="146" t="str">
        <f>VLOOKUP($A21,'ANEXO XVII- MEMORIA DE CALCULO'!$A$1:$P8725,2,0)</f>
        <v>73948/016</v>
      </c>
      <c r="D21" s="147" t="str">
        <f>VLOOKUP($A21,'ANEXO XVII- MEMORIA DE CALCULO'!$A$1:$P8725,3,0)</f>
        <v>LIMPEZA MANUAL DO TERRENO (C/ RASPAGEM SUPERFICIAL)</v>
      </c>
      <c r="E21" s="146" t="str">
        <f>VLOOKUP($A21,'ANEXO XVII- MEMORIA DE CALCULO'!$A$1:$P8725,4,0)</f>
        <v>M2</v>
      </c>
      <c r="F21" s="148">
        <f>VLOOKUP($A21,'ANEXO XVII- MEMORIA DE CALCULO'!$A$1:$P8694,9,0)</f>
        <v>317.6472</v>
      </c>
      <c r="G21" s="424">
        <v>2.8</v>
      </c>
      <c r="H21" s="424">
        <f t="shared" si="0"/>
        <v>889.41215999999997</v>
      </c>
      <c r="I21" s="425"/>
      <c r="J21" s="425"/>
      <c r="K21" s="425"/>
    </row>
    <row r="22" spans="1:11">
      <c r="A22" s="151"/>
      <c r="B22" s="152"/>
      <c r="C22" s="153"/>
      <c r="D22" s="154"/>
      <c r="E22" s="153"/>
      <c r="F22" s="155"/>
      <c r="G22" s="427"/>
      <c r="H22" s="428"/>
    </row>
    <row r="23" spans="1:11">
      <c r="A23" s="429" t="s">
        <v>44</v>
      </c>
      <c r="B23" s="141"/>
      <c r="C23" s="430"/>
      <c r="D23" s="423" t="str">
        <f>VLOOKUP($A23,'ANEXO XVII- MEMORIA DE CALCULO'!$A$1:$P8709,3,0)</f>
        <v>FECHAMENTO, LIMPEZA, DEMOLIÇÕES E RETIRADAS</v>
      </c>
      <c r="E23" s="431"/>
      <c r="F23" s="432"/>
      <c r="G23" s="433">
        <f>SUM(H24:H25)</f>
        <v>11607.959999999997</v>
      </c>
      <c r="H23" s="434"/>
    </row>
    <row r="24" spans="1:11" s="192" customFormat="1">
      <c r="A24" s="435" t="s">
        <v>46</v>
      </c>
      <c r="B24" s="145" t="str">
        <f>'ANEXO VI- Planilha Orçamentária'!B24</f>
        <v>SINAPI NACIONAL</v>
      </c>
      <c r="C24" s="436" t="str">
        <f>VLOOKUP($A24,'ANEXO XVII- MEMORIA DE CALCULO'!$A$1:$P8709,2,0)</f>
        <v>CPU 02.001</v>
      </c>
      <c r="D24" s="437" t="str">
        <f>VLOOKUP($A24,'ANEXO XVII- MEMORIA DE CALCULO'!$A$1:$P8709,3,0)</f>
        <v>DEMOLIÇÃO DE PISO CIMENTADO, INCLUSIVE LASTRO DE CONCRETO</v>
      </c>
      <c r="E24" s="436" t="str">
        <f>VLOOKUP($A24,'ANEXO XVII- MEMORIA DE CALCULO'!$A$1:$P8709,4,0)</f>
        <v>M2</v>
      </c>
      <c r="F24" s="438">
        <f>VLOOKUP($A24,'ANEXO XVII- MEMORIA DE CALCULO'!$A$1:$P8709,9,0)</f>
        <v>690.94999999999993</v>
      </c>
      <c r="G24" s="439">
        <f>VLOOKUP($A24,'ANEXO XVII- MEMORIA DE CALCULO'!$A$1:$P8709,16,0)*$J$7</f>
        <v>16.799999999999997</v>
      </c>
      <c r="H24" s="439">
        <f>F24*G24</f>
        <v>11607.959999999997</v>
      </c>
      <c r="I24" s="440"/>
      <c r="J24" s="440"/>
      <c r="K24" s="440"/>
    </row>
    <row r="25" spans="1:11">
      <c r="A25" s="151"/>
      <c r="B25" s="152"/>
      <c r="C25" s="153"/>
      <c r="D25" s="154"/>
      <c r="E25" s="153"/>
      <c r="F25" s="155"/>
      <c r="G25" s="427"/>
      <c r="H25" s="428"/>
    </row>
    <row r="26" spans="1:11">
      <c r="A26" s="429" t="s">
        <v>48</v>
      </c>
      <c r="B26" s="141"/>
      <c r="C26" s="430"/>
      <c r="D26" s="423" t="str">
        <f>VLOOKUP($A26,'ANEXO XVII- MEMORIA DE CALCULO'!$A$1:$P8722,3,0)</f>
        <v>MOVIMENTO DE TERRA</v>
      </c>
      <c r="E26" s="431"/>
      <c r="F26" s="432"/>
      <c r="G26" s="433">
        <f>SUM(H27:H30)</f>
        <v>10865.236480000001</v>
      </c>
      <c r="H26" s="434"/>
    </row>
    <row r="27" spans="1:11" s="192" customFormat="1">
      <c r="A27" s="435" t="s">
        <v>50</v>
      </c>
      <c r="B27" s="145" t="str">
        <f>'ANEXO VI- Planilha Orçamentária'!B27</f>
        <v>SINAPI NACIONAL</v>
      </c>
      <c r="C27" s="436" t="str">
        <f>VLOOKUP($A27,'ANEXO XVII- MEMORIA DE CALCULO'!$A$1:$P8722,2,0)</f>
        <v>79517/001</v>
      </c>
      <c r="D27" s="437" t="str">
        <f>VLOOKUP($A27,'ANEXO XVII- MEMORIA DE CALCULO'!$A$1:$P8722,3,0)</f>
        <v>ESCAVACAO MANUAL EM SOLO-PROF. ATE 1,50 M</v>
      </c>
      <c r="E27" s="436" t="str">
        <f>VLOOKUP($A27,'ANEXO XVII- MEMORIA DE CALCULO'!$A$1:$P8722,4,0)</f>
        <v>M3</v>
      </c>
      <c r="F27" s="438">
        <f>VLOOKUP($A27,'ANEXO XVII- MEMORIA DE CALCULO'!$A$1:$P8722,9,0)</f>
        <v>174.92250000000001</v>
      </c>
      <c r="G27" s="439">
        <f>VLOOKUP($A27,'ANEXO XVII- MEMORIA DE CALCULO'!$A$1:$P8722,16,0)*$J$7</f>
        <v>22.4</v>
      </c>
      <c r="H27" s="439">
        <f>F27*G27</f>
        <v>3918.2640000000001</v>
      </c>
      <c r="I27" s="440"/>
      <c r="J27" s="440"/>
      <c r="K27" s="440"/>
    </row>
    <row r="28" spans="1:11" s="192" customFormat="1">
      <c r="A28" s="144" t="s">
        <v>54</v>
      </c>
      <c r="B28" s="145" t="str">
        <f>'ANEXO VI- Planilha Orçamentária'!B28</f>
        <v>SINAPI NACIONAL</v>
      </c>
      <c r="C28" s="146" t="str">
        <f>VLOOKUP($A28,'ANEXO XVII- MEMORIA DE CALCULO'!$A$1:$P8722,2,0)</f>
        <v>79517/002</v>
      </c>
      <c r="D28" s="147" t="str">
        <f>VLOOKUP($A28,'ANEXO XVII- MEMORIA DE CALCULO'!$A$1:$P8722,3,0)</f>
        <v>ESCAVACAO MANUAL EM SOLO, PROF. MAIOR QUE 1,5M ATE 4,00 M</v>
      </c>
      <c r="E28" s="146" t="str">
        <f>VLOOKUP($A28,'ANEXO XVII- MEMORIA DE CALCULO'!$A$1:$P8722,4,0)</f>
        <v>M3</v>
      </c>
      <c r="F28" s="148">
        <f>VLOOKUP($A28,'ANEXO XVII- MEMORIA DE CALCULO'!$A$1:$P8722,9,0)</f>
        <v>64.138249999999999</v>
      </c>
      <c r="G28" s="424">
        <f>VLOOKUP($A28,'ANEXO XVII- MEMORIA DE CALCULO'!$A$1:$P8722,16,0)*$J$7</f>
        <v>35.840000000000003</v>
      </c>
      <c r="H28" s="424">
        <f>F28*G28</f>
        <v>2298.71488</v>
      </c>
      <c r="I28" s="440"/>
      <c r="J28" s="440"/>
      <c r="K28" s="440"/>
    </row>
    <row r="29" spans="1:11" s="192" customFormat="1" ht="24">
      <c r="A29" s="144" t="s">
        <v>57</v>
      </c>
      <c r="B29" s="145" t="str">
        <f>'ANEXO VI- Planilha Orçamentária'!B29</f>
        <v>SINAPI NACIONAL</v>
      </c>
      <c r="C29" s="146" t="str">
        <f>VLOOKUP($A29,'ANEXO XVII- MEMORIA DE CALCULO'!$A$1:$P8722,2,0)</f>
        <v>73964/004</v>
      </c>
      <c r="D29" s="147" t="str">
        <f>VLOOKUP($A29,'ANEXO XVII- MEMORIA DE CALCULO'!$A$1:$P8722,3,0)</f>
        <v>REATERRO DE VALAS / CAVAS, COMPACTADA A MAÇO, EM CAMADAS DE ATÉ 30 CM.</v>
      </c>
      <c r="E29" s="146" t="str">
        <f>VLOOKUP($A29,'ANEXO XVII- MEMORIA DE CALCULO'!$A$1:$P8722,4,0)</f>
        <v>M3</v>
      </c>
      <c r="F29" s="148">
        <f>VLOOKUP($A29,'ANEXO XVII- MEMORIA DE CALCULO'!$A$1:$P8722,9,0)</f>
        <v>197.63000000000002</v>
      </c>
      <c r="G29" s="424">
        <f>VLOOKUP($A29,'ANEXO XVII- MEMORIA DE CALCULO'!$A$1:$P8722,16,0)*$J$7</f>
        <v>23.52</v>
      </c>
      <c r="H29" s="424">
        <f>F29*G29</f>
        <v>4648.2576000000008</v>
      </c>
      <c r="I29" s="440"/>
      <c r="J29" s="440"/>
      <c r="K29" s="440"/>
    </row>
    <row r="30" spans="1:11">
      <c r="A30" s="151"/>
      <c r="B30" s="152"/>
      <c r="C30" s="153"/>
      <c r="D30" s="154"/>
      <c r="E30" s="153"/>
      <c r="F30" s="155"/>
      <c r="G30" s="427"/>
      <c r="H30" s="428"/>
    </row>
    <row r="31" spans="1:11">
      <c r="A31" s="429" t="s">
        <v>60</v>
      </c>
      <c r="B31" s="141"/>
      <c r="C31" s="430"/>
      <c r="D31" s="423" t="str">
        <f>VLOOKUP($A31,'ANEXO XVII- MEMORIA DE CALCULO'!$A$1:$P8726,3,0)</f>
        <v>CARGA E TRANSPORTE DE MATERIAIS</v>
      </c>
      <c r="E31" s="431"/>
      <c r="F31" s="432"/>
      <c r="G31" s="433">
        <f>SUM(H32:H38)</f>
        <v>43358.458074104165</v>
      </c>
      <c r="H31" s="434"/>
    </row>
    <row r="32" spans="1:11">
      <c r="A32" s="435" t="s">
        <v>62</v>
      </c>
      <c r="B32" s="145" t="str">
        <f>'ANEXO VI- Planilha Orçamentária'!B32</f>
        <v>SINAPI NACIONAL</v>
      </c>
      <c r="C32" s="436" t="str">
        <f>VLOOKUP($A32,'ANEXO XVII- MEMORIA DE CALCULO'!$A$1:$P8729,2,0)</f>
        <v>74023/001</v>
      </c>
      <c r="D32" s="437" t="str">
        <f>VLOOKUP($A32,'ANEXO XVII- MEMORIA DE CALCULO'!$A$1:$P8729,3,0)</f>
        <v>TRANSPORTE HORIZONTAL DE MATERIAIS DIVERSOS A 30M</v>
      </c>
      <c r="E32" s="436" t="str">
        <f>VLOOKUP($A32,'ANEXO XVII- MEMORIA DE CALCULO'!$A$1:$P8729,4,0)</f>
        <v>M3</v>
      </c>
      <c r="F32" s="438">
        <f>VLOOKUP($A32,'ANEXO XVII- MEMORIA DE CALCULO'!$A$1:$P8729,9,0)</f>
        <v>361.70238749999999</v>
      </c>
      <c r="G32" s="439">
        <f>VLOOKUP($A32,'ANEXO XVII- MEMORIA DE CALCULO'!$A$1:$P8729,16,0)*$J$7</f>
        <v>26.88</v>
      </c>
      <c r="H32" s="439">
        <f t="shared" ref="H32:H37" si="1">F32*G32</f>
        <v>9722.560175999999</v>
      </c>
    </row>
    <row r="33" spans="1:11" s="192" customFormat="1">
      <c r="A33" s="144" t="s">
        <v>65</v>
      </c>
      <c r="B33" s="145" t="str">
        <f>'ANEXO VI- Planilha Orçamentária'!B33</f>
        <v>SINAPI NACIONAL</v>
      </c>
      <c r="C33" s="146" t="str">
        <f>VLOOKUP($A33,'ANEXO XVII- MEMORIA DE CALCULO'!$A$1:$P8730,2,0)</f>
        <v>72896</v>
      </c>
      <c r="D33" s="147" t="str">
        <f>VLOOKUP($A33,'ANEXO XVII- MEMORIA DE CALCULO'!$A$1:$P8730,3,0)</f>
        <v>CARGA MANUAL DE TERRA EM CAMINHAO BASCULANTE 6 M3</v>
      </c>
      <c r="E33" s="146" t="str">
        <f>VLOOKUP($A33,'ANEXO XVII- MEMORIA DE CALCULO'!$A$1:$P8730,4,0)</f>
        <v>M3</v>
      </c>
      <c r="F33" s="148">
        <f>VLOOKUP($A33,'ANEXO XVII- MEMORIA DE CALCULO'!$A$1:$P8730,9,0)</f>
        <v>239.06075000000001</v>
      </c>
      <c r="G33" s="424">
        <f>VLOOKUP($A33,'ANEXO XVII- MEMORIA DE CALCULO'!$A$1:$P8730,16,0)*$J$7</f>
        <v>14.75</v>
      </c>
      <c r="H33" s="424">
        <f t="shared" si="1"/>
        <v>3526.1460625</v>
      </c>
      <c r="I33" s="440"/>
      <c r="J33" s="440"/>
      <c r="K33" s="440"/>
    </row>
    <row r="34" spans="1:11" s="192" customFormat="1">
      <c r="A34" s="144" t="s">
        <v>68</v>
      </c>
      <c r="B34" s="145" t="str">
        <f>'ANEXO VI- Planilha Orçamentária'!B34</f>
        <v>SINAPI NACIONAL</v>
      </c>
      <c r="C34" s="146">
        <f>VLOOKUP($A34,'ANEXO XVII- MEMORIA DE CALCULO'!$A$1:$P8731,2,0)</f>
        <v>72897</v>
      </c>
      <c r="D34" s="147" t="str">
        <f>VLOOKUP($A34,'ANEXO XVII- MEMORIA DE CALCULO'!$A$1:$P8731,3,0)</f>
        <v>CARGA MANUAL DE ENTULHO EM CAMINHAO BASCULANTE 6 M3</v>
      </c>
      <c r="E34" s="146" t="str">
        <f>VLOOKUP($A34,'ANEXO XVII- MEMORIA DE CALCULO'!$A$1:$P8731,4,0)</f>
        <v>M3</v>
      </c>
      <c r="F34" s="148">
        <f>VLOOKUP($A34,'ANEXO XVII- MEMORIA DE CALCULO'!$A$1:$P8731,9,0)</f>
        <v>62.876450000000006</v>
      </c>
      <c r="G34" s="424">
        <f>VLOOKUP($A34,'ANEXO XVII- MEMORIA DE CALCULO'!$A$1:$P8731,16,0)*$J$7</f>
        <v>17.88</v>
      </c>
      <c r="H34" s="424">
        <f t="shared" si="1"/>
        <v>1124.230926</v>
      </c>
      <c r="I34" s="440"/>
      <c r="J34" s="440"/>
      <c r="K34" s="440"/>
    </row>
    <row r="35" spans="1:11" s="192" customFormat="1" ht="24">
      <c r="A35" s="144" t="s">
        <v>70</v>
      </c>
      <c r="B35" s="145" t="str">
        <f>'ANEXO VI- Planilha Orçamentária'!B35</f>
        <v>SINAPI NACIONAL</v>
      </c>
      <c r="C35" s="145">
        <f>VLOOKUP($A35,'ANEXO XVII- MEMORIA DE CALCULO'!$A$1:$P8731,2,0)</f>
        <v>72843</v>
      </c>
      <c r="D35" s="147" t="str">
        <f>VLOOKUP($A35,'ANEXO XVII- MEMORIA DE CALCULO'!$A$1:$P8731,3,0)</f>
        <v xml:space="preserve">TRANSPORTE COMERCIAL COM CAMINHAO BASCULANTE 6 M3, RODOVIA PAVIMENTADA  </v>
      </c>
      <c r="E35" s="441" t="str">
        <f>VLOOKUP($A35,'ANEXO XVII- MEMORIA DE CALCULO'!$A$1:$P8731,4,0)</f>
        <v>M3xKM</v>
      </c>
      <c r="F35" s="148">
        <f>VLOOKUP($A35,'ANEXO XVII- MEMORIA DE CALCULO'!$A$1:$P8731,9,0)</f>
        <v>6691.4941687500004</v>
      </c>
      <c r="G35" s="424">
        <f>VLOOKUP($A35,'ANEXO XVII- MEMORIA DE CALCULO'!$A$1:$P8732,16,0)*$J$7</f>
        <v>0.61</v>
      </c>
      <c r="H35" s="424">
        <f t="shared" si="1"/>
        <v>4081.8114429375</v>
      </c>
      <c r="I35" s="440"/>
      <c r="J35" s="440"/>
      <c r="K35" s="440"/>
    </row>
    <row r="36" spans="1:11" s="192" customFormat="1" ht="24">
      <c r="A36" s="144" t="s">
        <v>76</v>
      </c>
      <c r="B36" s="145" t="str">
        <f>'ANEXO VI- Planilha Orçamentária'!B36</f>
        <v>COMPOSIÇÃO</v>
      </c>
      <c r="C36" s="145" t="str">
        <f>VLOOKUP($A36,'ANEXO XVII- MEMORIA DE CALCULO'!$A$1:$P8732,2,0)</f>
        <v>COT 01</v>
      </c>
      <c r="D36" s="147" t="str">
        <f>VLOOKUP($A36,'ANEXO XVII- MEMORIA DE CALCULO'!$A$1:$P8732,3,0)</f>
        <v>DEPÓSITO DE RESÍDUO (DESTINO FINAL) EM LOCAL LICENCIADO  - CLASSE II A - MATERIAL DE ESCAVAÇÃO (1ª CATEGORIA)</v>
      </c>
      <c r="E36" s="441" t="str">
        <f>VLOOKUP($A36,'ANEXO XVII- MEMORIA DE CALCULO'!$A$1:$P8732,4,0)</f>
        <v>T</v>
      </c>
      <c r="F36" s="148">
        <f>VLOOKUP($A36,'ANEXO XVII- MEMORIA DE CALCULO'!$A$1:$P8732,9,0)</f>
        <v>382.49720000000002</v>
      </c>
      <c r="G36" s="424">
        <f>VLOOKUP($A36,'ANEXO XVII- MEMORIA DE CALCULO'!$A$1:$P8733,16,0)*$J$7</f>
        <v>55.666666666666664</v>
      </c>
      <c r="H36" s="424">
        <f t="shared" si="1"/>
        <v>21292.344133333332</v>
      </c>
      <c r="I36" s="440"/>
      <c r="J36" s="440"/>
      <c r="K36" s="440"/>
    </row>
    <row r="37" spans="1:11" s="192" customFormat="1" ht="24">
      <c r="A37" s="144" t="s">
        <v>80</v>
      </c>
      <c r="B37" s="145" t="str">
        <f>'ANEXO VI- Planilha Orçamentária'!B37</f>
        <v>COMPOSIÇÃO</v>
      </c>
      <c r="C37" s="145" t="str">
        <f>VLOOKUP($A37,'ANEXO XVII- MEMORIA DE CALCULO'!$A$1:$P8733,2,0)</f>
        <v>COT  02</v>
      </c>
      <c r="D37" s="147" t="str">
        <f>VLOOKUP($A37,'ANEXO XVII- MEMORIA DE CALCULO'!$A$1:$P8733,3,0)</f>
        <v>DEPÓSITO DE RESÍDUO (DESTINO FINAL) EM LOCAL LICENCIADO  - CLASSE II B - ENTULHO</v>
      </c>
      <c r="E37" s="441" t="str">
        <f>VLOOKUP($A37,'ANEXO XVII- MEMORIA DE CALCULO'!$A$1:$P8733,4,0)</f>
        <v>T</v>
      </c>
      <c r="F37" s="148">
        <f>VLOOKUP($A37,'ANEXO XVII- MEMORIA DE CALCULO'!$A$1:$P8733,9,0)</f>
        <v>67.713099999999997</v>
      </c>
      <c r="G37" s="424">
        <f>VLOOKUP($A37,'ANEXO XVII- MEMORIA DE CALCULO'!$A$1:$P8734,16,0)*$J$7</f>
        <v>53.333333333333336</v>
      </c>
      <c r="H37" s="424">
        <f t="shared" si="1"/>
        <v>3611.3653333333332</v>
      </c>
      <c r="I37" s="440"/>
      <c r="J37" s="440"/>
      <c r="K37" s="440"/>
    </row>
    <row r="38" spans="1:11" s="417" customFormat="1">
      <c r="A38" s="151"/>
      <c r="B38" s="152"/>
      <c r="C38" s="153"/>
      <c r="D38" s="154"/>
      <c r="E38" s="153"/>
      <c r="F38" s="155"/>
      <c r="G38" s="427"/>
      <c r="H38" s="428"/>
    </row>
    <row r="39" spans="1:11">
      <c r="A39" s="429" t="s">
        <v>83</v>
      </c>
      <c r="B39" s="141"/>
      <c r="C39" s="430"/>
      <c r="D39" s="423" t="str">
        <f>VLOOKUP($A39,'ANEXO XVII- MEMORIA DE CALCULO'!$A$1:$P8730,3,0)</f>
        <v>ESTRUTURAS DE CONCRETO - FUNDAÇÃO E SUPERESTRUTURA</v>
      </c>
      <c r="E39" s="431"/>
      <c r="F39" s="432"/>
      <c r="G39" s="433">
        <f>SUM(H41:H53)</f>
        <v>305493.70755619998</v>
      </c>
      <c r="H39" s="434"/>
    </row>
    <row r="40" spans="1:11" s="417" customFormat="1">
      <c r="A40" s="442" t="s">
        <v>84</v>
      </c>
      <c r="B40" s="145"/>
      <c r="C40" s="146">
        <f>VLOOKUP($A40,'ANEXO XVII- MEMORIA DE CALCULO'!$A$1:$P8728,2,0)</f>
        <v>0</v>
      </c>
      <c r="D40" s="443" t="str">
        <f>VLOOKUP($A40,'ANEXO XVII- MEMORIA DE CALCULO'!$A$1:$P8728,3,0)</f>
        <v>FUNDAÇÃO</v>
      </c>
      <c r="E40" s="146">
        <f>VLOOKUP($A40,'ANEXO XVII- MEMORIA DE CALCULO'!$A$1:$P8728,4,0)</f>
        <v>0</v>
      </c>
      <c r="F40" s="148">
        <f>VLOOKUP($A40,'ANEXO XVII- MEMORIA DE CALCULO'!$A$1:$P8728,9,0)</f>
        <v>0</v>
      </c>
      <c r="G40" s="424"/>
      <c r="H40" s="424"/>
    </row>
    <row r="41" spans="1:11" s="417" customFormat="1" ht="24">
      <c r="A41" s="144" t="s">
        <v>86</v>
      </c>
      <c r="B41" s="145" t="str">
        <f>'ANEXO VI- Planilha Orçamentária'!B41</f>
        <v>SINAPI NACIONAL</v>
      </c>
      <c r="C41" s="146">
        <f>VLOOKUP($A41,'ANEXO XVII- MEMORIA DE CALCULO'!$A$1:$P8729,2,0)</f>
        <v>6042</v>
      </c>
      <c r="D41" s="147" t="str">
        <f>VLOOKUP($A41,'ANEXO XVII- MEMORIA DE CALCULO'!$A$1:$P8729,3,0)</f>
        <v>CONCRETO NAO ESTRUTURAL, CONSUMO 210KG/M3, PREPARO COM BETONEIRA, SEM LANCAMENTO</v>
      </c>
      <c r="E41" s="146" t="str">
        <f>VLOOKUP($A41,'ANEXO XVII- MEMORIA DE CALCULO'!$A$1:$P8729,4,0)</f>
        <v>M3</v>
      </c>
      <c r="F41" s="148">
        <f>VLOOKUP($A41,'ANEXO XVII- MEMORIA DE CALCULO'!$A$1:$P8729,9,0)</f>
        <v>5.830750000000001</v>
      </c>
      <c r="G41" s="424">
        <f>VLOOKUP($A41,'ANEXO XVII- MEMORIA DE CALCULO'!$A$1:$P8729,16,0)*$J$7</f>
        <v>251.72</v>
      </c>
      <c r="H41" s="424">
        <f>F41*G41</f>
        <v>1467.7163900000003</v>
      </c>
    </row>
    <row r="42" spans="1:11" s="425" customFormat="1" ht="24">
      <c r="A42" s="144" t="s">
        <v>88</v>
      </c>
      <c r="B42" s="145" t="str">
        <f>'ANEXO VI- Planilha Orçamentária'!B42</f>
        <v>SINAPI NACIONAL</v>
      </c>
      <c r="C42" s="146">
        <f>VLOOKUP($A42,'ANEXO XVII- MEMORIA DE CALCULO'!$A$1:$P8730,2,0)</f>
        <v>92874</v>
      </c>
      <c r="D42" s="147" t="str">
        <f>VLOOKUP($A42,'ANEXO XVII- MEMORIA DE CALCULO'!$A$1:$P8730,3,0)</f>
        <v>LANÇAMENTO COM USO DE BOMBA, ADENSAMENTO E ACABAMENTO DE CONCRETO EM ESTRUTURAS.</v>
      </c>
      <c r="E42" s="146" t="str">
        <f>VLOOKUP($A42,'ANEXO XVII- MEMORIA DE CALCULO'!$A$1:$P8730,4,0)</f>
        <v>M3</v>
      </c>
      <c r="F42" s="148">
        <f>VLOOKUP($A42,'ANEXO XVII- MEMORIA DE CALCULO'!$A$1:$P8730,9,0)</f>
        <v>5.830750000000001</v>
      </c>
      <c r="G42" s="424">
        <f>VLOOKUP($A42,'ANEXO XVII- MEMORIA DE CALCULO'!$A$1:$P8730,16,0)*$J$7</f>
        <v>19.190000000000001</v>
      </c>
      <c r="H42" s="424">
        <f>F42*G42</f>
        <v>111.89209250000003</v>
      </c>
    </row>
    <row r="43" spans="1:11" s="425" customFormat="1" ht="24">
      <c r="A43" s="144" t="s">
        <v>90</v>
      </c>
      <c r="B43" s="145" t="str">
        <f>'ANEXO VI- Planilha Orçamentária'!B43</f>
        <v>SINAPI NACIONAL</v>
      </c>
      <c r="C43" s="146">
        <f>VLOOKUP($A43,'ANEXO XVII- MEMORIA DE CALCULO'!$A$1:$P8731,2,0)</f>
        <v>5651</v>
      </c>
      <c r="D43" s="147" t="str">
        <f>VLOOKUP($A43,'ANEXO XVII- MEMORIA DE CALCULO'!$A$1:$P8731,3,0)</f>
        <v>FORMA TABUA PARA CONCRETO EM FUNDACAO, C/ REAPROVEITAMENTO 5X.</v>
      </c>
      <c r="E43" s="146" t="str">
        <f>VLOOKUP($A43,'ANEXO XVII- MEMORIA DE CALCULO'!$A$1:$P8731,4,0)</f>
        <v>M2</v>
      </c>
      <c r="F43" s="148">
        <f>VLOOKUP($A43,'ANEXO XVII- MEMORIA DE CALCULO'!$A$1:$P8731,9,0)</f>
        <v>65.2</v>
      </c>
      <c r="G43" s="424">
        <f>VLOOKUP($A43,'ANEXO XVII- MEMORIA DE CALCULO'!$A$1:$P8731,16,0)*$J$7</f>
        <v>23.33</v>
      </c>
      <c r="H43" s="424">
        <f>F43*G43</f>
        <v>1521.116</v>
      </c>
    </row>
    <row r="44" spans="1:11" s="425" customFormat="1" ht="24">
      <c r="A44" s="144" t="s">
        <v>92</v>
      </c>
      <c r="B44" s="145" t="str">
        <f>'ANEXO VI- Planilha Orçamentária'!B44</f>
        <v>COMPOSIÇÃO</v>
      </c>
      <c r="C44" s="146" t="str">
        <f>VLOOKUP($A44,'ANEXO XVII- MEMORIA DE CALCULO'!$A$1:$P8732,2,0)</f>
        <v>CPU 6.007</v>
      </c>
      <c r="D44" s="147" t="str">
        <f>VLOOKUP($A44,'ANEXO XVII- MEMORIA DE CALCULO'!$A$1:$P8732,3,0)</f>
        <v>CONCRETO USINADO BOMBEÁVEL FCK=30MPA, INCLUSIVE LANCAMENTO E ADENSAMENTO</v>
      </c>
      <c r="E44" s="146" t="str">
        <f>VLOOKUP($A44,'ANEXO XVII- MEMORIA DE CALCULO'!$A$1:$P8732,4,0)</f>
        <v>M3</v>
      </c>
      <c r="F44" s="148">
        <f>VLOOKUP($A44,'ANEXO XVII- MEMORIA DE CALCULO'!$A$1:$P8732,9,0)</f>
        <v>35.6</v>
      </c>
      <c r="G44" s="424">
        <f>VLOOKUP($A44,'ANEXO XVII- MEMORIA DE CALCULO'!$A$1:$P8732,16,0)*$J$7</f>
        <v>382.27449999999999</v>
      </c>
      <c r="H44" s="424">
        <f>F44*G44</f>
        <v>13608.9722</v>
      </c>
    </row>
    <row r="45" spans="1:11" s="425" customFormat="1">
      <c r="A45" s="442" t="s">
        <v>95</v>
      </c>
      <c r="B45" s="145"/>
      <c r="C45" s="146">
        <f>VLOOKUP($A45,'ANEXO XVII- MEMORIA DE CALCULO'!$A$1:$P8737,2,0)</f>
        <v>0</v>
      </c>
      <c r="D45" s="443" t="str">
        <f>VLOOKUP($A45,'ANEXO XVII- MEMORIA DE CALCULO'!$A$1:$P8737,3,0)</f>
        <v>SUPERESTRUTURA</v>
      </c>
      <c r="E45" s="146">
        <f>VLOOKUP($A45,'ANEXO XVII- MEMORIA DE CALCULO'!$A$1:$P8737,4,0)</f>
        <v>0</v>
      </c>
      <c r="F45" s="148">
        <f>VLOOKUP($A45,'ANEXO XVII- MEMORIA DE CALCULO'!$A$1:$P8736,9,0)</f>
        <v>0</v>
      </c>
      <c r="G45" s="424"/>
      <c r="H45" s="424"/>
    </row>
    <row r="46" spans="1:11" s="425" customFormat="1" ht="24">
      <c r="A46" s="144" t="s">
        <v>97</v>
      </c>
      <c r="B46" s="145" t="str">
        <f>'ANEXO VI- Planilha Orçamentária'!B46</f>
        <v>COMPOSIÇÃO</v>
      </c>
      <c r="C46" s="146" t="str">
        <f>VLOOKUP($A46,'ANEXO XVII- MEMORIA DE CALCULO'!$A$1:$P8738,2,0)</f>
        <v>CPU 6.001</v>
      </c>
      <c r="D46" s="147" t="str">
        <f>VLOOKUP($A46,'ANEXO XVII- MEMORIA DE CALCULO'!$A$1:$P8738,3,0)</f>
        <v>FABRICAÇÃO DE FÔRMA PARA ESTRUTURAS, EM CHAPA DE MADEIRA COMPENSADA PLASTIFICADA, E = 12 MM.</v>
      </c>
      <c r="E46" s="146" t="str">
        <f>VLOOKUP($A46,'ANEXO XVII- MEMORIA DE CALCULO'!$A$1:$P8738,4,0)</f>
        <v>M2</v>
      </c>
      <c r="F46" s="148">
        <f>VLOOKUP($A46,'ANEXO XVII- MEMORIA DE CALCULO'!$A$1:$P8737,9,0)</f>
        <v>853.81</v>
      </c>
      <c r="G46" s="424">
        <f>VLOOKUP($A46,'ANEXO XVII- MEMORIA DE CALCULO'!$A$1:$P8738,16,0)*$J$7</f>
        <v>60.880869999999987</v>
      </c>
      <c r="H46" s="424">
        <f t="shared" ref="H46:H52" si="2">F46*G46</f>
        <v>51980.695614699987</v>
      </c>
    </row>
    <row r="47" spans="1:11" s="425" customFormat="1" ht="24">
      <c r="A47" s="144" t="s">
        <v>98</v>
      </c>
      <c r="B47" s="145" t="str">
        <f>'ANEXO VI- Planilha Orçamentária'!B47</f>
        <v>COMPOSIÇÃO</v>
      </c>
      <c r="C47" s="146" t="str">
        <f>VLOOKUP($A47,'ANEXO XVII- MEMORIA DE CALCULO'!$A$1:$P8739,2,0)</f>
        <v>CPU 6.002</v>
      </c>
      <c r="D47" s="147" t="str">
        <f>VLOOKUP($A47,'ANEXO XVII- MEMORIA DE CALCULO'!$A$1:$P8739,3,0)</f>
        <v>MONTAGEM E DESMONTAGEM DE FÔRMA EM ESTRUTURAS, EM CHAPA DE MADEIRA COMPENSADA PLASTIFICADA, 4 UTILIZAÇÕES.</v>
      </c>
      <c r="E47" s="146" t="str">
        <f>VLOOKUP($A47,'ANEXO XVII- MEMORIA DE CALCULO'!$A$1:$P8739,4,0)</f>
        <v>M2</v>
      </c>
      <c r="F47" s="148">
        <f>VLOOKUP($A47,'ANEXO XVII- MEMORIA DE CALCULO'!$A$1:$P8738,9,0)</f>
        <v>853.81</v>
      </c>
      <c r="G47" s="424">
        <f>VLOOKUP($A47,'ANEXO XVII- MEMORIA DE CALCULO'!$A$1:$P8739,16,0)*$J$7</f>
        <v>27.497700000000002</v>
      </c>
      <c r="H47" s="424">
        <f t="shared" si="2"/>
        <v>23477.811237000002</v>
      </c>
    </row>
    <row r="48" spans="1:11" s="425" customFormat="1" ht="36">
      <c r="A48" s="144" t="s">
        <v>99</v>
      </c>
      <c r="B48" s="145" t="str">
        <f>'ANEXO VI- Planilha Orçamentária'!B48</f>
        <v>COMPOSIÇÃO</v>
      </c>
      <c r="C48" s="146" t="str">
        <f>VLOOKUP($A48,'ANEXO XVII- MEMORIA DE CALCULO'!$A$1:$P8740,2,0)</f>
        <v>CPU 6.003</v>
      </c>
      <c r="D48" s="147" t="str">
        <f>VLOOKUP($A48,'ANEXO XVII- MEMORIA DE CALCULO'!$A$1:$P8740,3,0)</f>
        <v>ARMAÇÃO EM UMA ESTRUTURA CONVENCIONAL DE CONCRETO ARMADO UTILIZANDO AÇO CA-50 DE 6.3 MM - AQUISIÇÃO / CORTE / DOBRA / MONTAGEM.</v>
      </c>
      <c r="E48" s="146" t="str">
        <f>VLOOKUP($A48,'ANEXO XVII- MEMORIA DE CALCULO'!$A$1:$P8740,4,0)</f>
        <v>KG</v>
      </c>
      <c r="F48" s="148">
        <f>VLOOKUP($A48,'ANEXO XVII- MEMORIA DE CALCULO'!$A$1:$P8739,9,0)</f>
        <v>6662</v>
      </c>
      <c r="G48" s="424">
        <f>VLOOKUP($A48,'ANEXO XVII- MEMORIA DE CALCULO'!$A$1:$P8740,16,0)*$J$7</f>
        <v>10.152878000000001</v>
      </c>
      <c r="H48" s="424">
        <f t="shared" si="2"/>
        <v>67638.473236000005</v>
      </c>
    </row>
    <row r="49" spans="1:11" s="425" customFormat="1" ht="36">
      <c r="A49" s="144" t="s">
        <v>100</v>
      </c>
      <c r="B49" s="145" t="str">
        <f>'ANEXO VI- Planilha Orçamentária'!B49</f>
        <v>COMPOSIÇÃO</v>
      </c>
      <c r="C49" s="146" t="str">
        <f>VLOOKUP($A49,'ANEXO XVII- MEMORIA DE CALCULO'!$A$1:$P8741,2,0)</f>
        <v>CPU 6.004</v>
      </c>
      <c r="D49" s="147" t="str">
        <f>VLOOKUP($A49,'ANEXO XVII- MEMORIA DE CALCULO'!$A$1:$P8741,3,0)</f>
        <v>ARMAÇÃO EM UMA ESTRUTURA CONVENCIONAL DE CONCRETO ARMADO UTILIZANDO AÇO CA-50 DE 10.0 MM - AQUISIÇÃO / CORTE / DOBRA / MONTAGEM.</v>
      </c>
      <c r="E49" s="146" t="str">
        <f>VLOOKUP($A49,'ANEXO XVII- MEMORIA DE CALCULO'!$A$1:$P8741,4,0)</f>
        <v>KG</v>
      </c>
      <c r="F49" s="148">
        <f>VLOOKUP($A49,'ANEXO XVII- MEMORIA DE CALCULO'!$A$1:$P8740,9,0)</f>
        <v>6830</v>
      </c>
      <c r="G49" s="424">
        <f>VLOOKUP($A49,'ANEXO XVII- MEMORIA DE CALCULO'!$A$1:$P8741,16,0)*$J$7</f>
        <v>9.2028780000000001</v>
      </c>
      <c r="H49" s="424">
        <f t="shared" si="2"/>
        <v>62855.656739999999</v>
      </c>
    </row>
    <row r="50" spans="1:11" s="425" customFormat="1" ht="36">
      <c r="A50" s="144" t="s">
        <v>101</v>
      </c>
      <c r="B50" s="145" t="str">
        <f>'ANEXO VI- Planilha Orçamentária'!B50</f>
        <v>COMPOSIÇÃO</v>
      </c>
      <c r="C50" s="146" t="str">
        <f>VLOOKUP($A50,'ANEXO XVII- MEMORIA DE CALCULO'!$A$1:$P8742,2,0)</f>
        <v>CPU 6.005</v>
      </c>
      <c r="D50" s="147" t="str">
        <f>VLOOKUP($A50,'ANEXO XVII- MEMORIA DE CALCULO'!$A$1:$P8742,3,0)</f>
        <v>ARMAÇÃO EM UMA ESTRUTURA CONVENCIONAL DE CONCRETO ARMADO UTILIZANDO AÇO CA-50 DE 12.5 MM - AQUISIÇÃO / CORTE / DOBRA / MONTAGEM.</v>
      </c>
      <c r="E50" s="146" t="str">
        <f>VLOOKUP($A50,'ANEXO XVII- MEMORIA DE CALCULO'!$A$1:$P8742,4,0)</f>
        <v>KG</v>
      </c>
      <c r="F50" s="148">
        <f>VLOOKUP($A50,'ANEXO XVII- MEMORIA DE CALCULO'!$A$1:$P8741,9,0)</f>
        <v>2296</v>
      </c>
      <c r="G50" s="424">
        <f>VLOOKUP($A50,'ANEXO XVII- MEMORIA DE CALCULO'!$A$1:$P8742,16,0)*$J$7</f>
        <v>8.3628780000000003</v>
      </c>
      <c r="H50" s="424">
        <f t="shared" si="2"/>
        <v>19201.167888</v>
      </c>
    </row>
    <row r="51" spans="1:11" s="425" customFormat="1" ht="36">
      <c r="A51" s="144" t="s">
        <v>102</v>
      </c>
      <c r="B51" s="145" t="str">
        <f>'ANEXO VI- Planilha Orçamentária'!B51</f>
        <v>COMPOSIÇÃO</v>
      </c>
      <c r="C51" s="146" t="str">
        <f>VLOOKUP($A51,'ANEXO XVII- MEMORIA DE CALCULO'!$A$1:$P8743,2,0)</f>
        <v>CPU 6.006</v>
      </c>
      <c r="D51" s="147" t="str">
        <f>VLOOKUP($A51,'ANEXO XVII- MEMORIA DE CALCULO'!$A$1:$P8743,3,0)</f>
        <v>ARMAÇÃO EM UMA ESTRUTURA CONVENCIONAL DE CONCRETO ARMADO UTILIZANDO AÇO CA-60 DE 5.0 MM - AQUISIÇÃO / CORTE / DOBRA / MONTAGEM.</v>
      </c>
      <c r="E51" s="146" t="str">
        <f>VLOOKUP($A51,'ANEXO XVII- MEMORIA DE CALCULO'!$A$1:$P8743,4,0)</f>
        <v>KG</v>
      </c>
      <c r="F51" s="148">
        <f>VLOOKUP($A51,'ANEXO XVII- MEMORIA DE CALCULO'!$A$1:$P8742,9,0)</f>
        <v>478</v>
      </c>
      <c r="G51" s="424">
        <f>VLOOKUP($A51,'ANEXO XVII- MEMORIA DE CALCULO'!$A$1:$P8743,16,0)*$J$7</f>
        <v>8.5664759999999998</v>
      </c>
      <c r="H51" s="424">
        <f t="shared" si="2"/>
        <v>4094.7755279999997</v>
      </c>
    </row>
    <row r="52" spans="1:11" s="425" customFormat="1" ht="24">
      <c r="A52" s="144" t="s">
        <v>103</v>
      </c>
      <c r="B52" s="145" t="str">
        <f>'ANEXO VI- Planilha Orçamentária'!B52</f>
        <v>COMPOSIÇÃO</v>
      </c>
      <c r="C52" s="146" t="str">
        <f>VLOOKUP($A52,'ANEXO XVII- MEMORIA DE CALCULO'!$A$1:$P8744,2,0)</f>
        <v>CPU 6.007</v>
      </c>
      <c r="D52" s="147" t="str">
        <f>VLOOKUP($A52,'ANEXO XVII- MEMORIA DE CALCULO'!$A$1:$P8744,3,0)</f>
        <v>CONCRETO USINADO BOMBEÁVEL FCK=30MPA, INCLUSIVE LANCAMENTO E ADENSAMENTO</v>
      </c>
      <c r="E52" s="146" t="str">
        <f>VLOOKUP($A52,'ANEXO XVII- MEMORIA DE CALCULO'!$A$1:$P8744,4,0)</f>
        <v>M3</v>
      </c>
      <c r="F52" s="148">
        <f>VLOOKUP($A52,'ANEXO XVII- MEMORIA DE CALCULO'!$A$1:$P8743,9,0)</f>
        <v>155.74</v>
      </c>
      <c r="G52" s="424">
        <f>VLOOKUP($A52,'ANEXO XVII- MEMORIA DE CALCULO'!$A$1:$P8744,16,0)*$J$7</f>
        <v>382.27449999999999</v>
      </c>
      <c r="H52" s="424">
        <f t="shared" si="2"/>
        <v>59535.430630000003</v>
      </c>
    </row>
    <row r="53" spans="1:11" s="426" customFormat="1">
      <c r="A53" s="151"/>
      <c r="B53" s="152"/>
      <c r="C53" s="153"/>
      <c r="D53" s="154"/>
      <c r="E53" s="153"/>
      <c r="F53" s="155"/>
      <c r="G53" s="427"/>
      <c r="H53" s="428"/>
      <c r="I53" s="425"/>
      <c r="J53" s="425"/>
      <c r="K53" s="425"/>
    </row>
    <row r="54" spans="1:11">
      <c r="A54" s="429" t="s">
        <v>104</v>
      </c>
      <c r="B54" s="141"/>
      <c r="C54" s="430"/>
      <c r="D54" s="423" t="str">
        <f>VLOOKUP($A54,'ANEXO XVII- MEMORIA DE CALCULO'!$A$1:$P8734,3,0)</f>
        <v>PISOS (FORNECIMENTO E COLOCAÇÃO)</v>
      </c>
      <c r="E54" s="431"/>
      <c r="F54" s="432"/>
      <c r="G54" s="433">
        <f>SUM(H55:H58)</f>
        <v>31270.814743999996</v>
      </c>
      <c r="H54" s="434"/>
    </row>
    <row r="55" spans="1:11" s="425" customFormat="1" ht="24">
      <c r="A55" s="144" t="s">
        <v>106</v>
      </c>
      <c r="B55" s="145" t="str">
        <f>'ANEXO VI- Planilha Orçamentária'!B55</f>
        <v>COMPOSIÇÃO</v>
      </c>
      <c r="C55" s="146" t="str">
        <f>VLOOKUP($A55,'ANEXO XVII- MEMORIA DE CALCULO'!$A$1:$P8728,2,0)</f>
        <v>CPU 7.001</v>
      </c>
      <c r="D55" s="147" t="str">
        <f>VLOOKUP($A55,'ANEXO XVII- MEMORIA DE CALCULO'!$A$1:$P8728,3,0)</f>
        <v>PISO INTETRAVADO COM 0,10X0,20X0,08 M NATURAL, ASSENTADA SOBRE COLCHÃO DE AREIA, INCLUSIVE REGULARIZAÇÃO MANUAL DO TERRENO</v>
      </c>
      <c r="E55" s="146" t="str">
        <f>VLOOKUP($A55,'ANEXO XVII- MEMORIA DE CALCULO'!$A$1:$P8728,4,0)</f>
        <v>M2</v>
      </c>
      <c r="F55" s="148">
        <f>VLOOKUP($A55,'ANEXO XVII- MEMORIA DE CALCULO'!$A$1:$P8728,9,0)</f>
        <v>96.72999999999999</v>
      </c>
      <c r="G55" s="424">
        <f>VLOOKUP($A55,'ANEXO XVII- MEMORIA DE CALCULO'!$A$1:$P8728,16,0)*$J$7</f>
        <v>54.335999999999991</v>
      </c>
      <c r="H55" s="424">
        <f>F55*G55</f>
        <v>5255.9212799999987</v>
      </c>
    </row>
    <row r="56" spans="1:11" s="425" customFormat="1" ht="24">
      <c r="A56" s="144" t="s">
        <v>108</v>
      </c>
      <c r="B56" s="145" t="str">
        <f>'ANEXO VI- Planilha Orçamentária'!B56</f>
        <v>COMPOSIÇÃO</v>
      </c>
      <c r="C56" s="146" t="str">
        <f>VLOOKUP($A56,'ANEXO XVII- MEMORIA DE CALCULO'!$A$1:$P8729,2,0)</f>
        <v>CPU 7.002</v>
      </c>
      <c r="D56" s="147" t="str">
        <f>VLOOKUP($A56,'ANEXO XVII- MEMORIA DE CALCULO'!$A$1:$P8729,3,0)</f>
        <v>PISO INTETRAVADO COM 0,10X0,20X0,08 M GRAFITE, ASSENTADA SOBRE COLCHÃO DE AREIA, INCLUSIVE REGULARIZAÇÃO MANUAL DO TERRENO</v>
      </c>
      <c r="E56" s="146" t="str">
        <f>VLOOKUP($A56,'ANEXO XVII- MEMORIA DE CALCULO'!$A$1:$P8729,4,0)</f>
        <v>M2</v>
      </c>
      <c r="F56" s="148">
        <f>VLOOKUP($A56,'ANEXO XVII- MEMORIA DE CALCULO'!$A$1:$P8729,9,0)</f>
        <v>95.12</v>
      </c>
      <c r="G56" s="424">
        <f>VLOOKUP($A56,'ANEXO XVII- MEMORIA DE CALCULO'!$A$1:$P8729,16,0)*$J$7</f>
        <v>63.545999999999992</v>
      </c>
      <c r="H56" s="424">
        <f>F56*G56</f>
        <v>6044.4955199999995</v>
      </c>
    </row>
    <row r="57" spans="1:11" s="425" customFormat="1" ht="36">
      <c r="A57" s="144" t="s">
        <v>110</v>
      </c>
      <c r="B57" s="145" t="str">
        <f>'ANEXO VI- Planilha Orçamentária'!B57</f>
        <v>COMPOSIÇÃO</v>
      </c>
      <c r="C57" s="146" t="str">
        <f>VLOOKUP($A57,'ANEXO XVII- MEMORIA DE CALCULO'!$A$1:$P8730,2,0)</f>
        <v>CPU 7.003</v>
      </c>
      <c r="D57" s="147" t="str">
        <f>VLOOKUP($A57,'ANEXO XVII- MEMORIA DE CALCULO'!$A$1:$P8730,3,0)</f>
        <v>PEÇA DE ARREMATE EM CONCRETO MOLDADO NO LOCAL, DIM. (0,10X0,50X0,20)M, REJUNTADO EM ARGAMASSA NO TRACO 1:3,5 (CIMENTO E AREIA)</v>
      </c>
      <c r="E57" s="146" t="str">
        <f>VLOOKUP($A57,'ANEXO XVII- MEMORIA DE CALCULO'!$A$1:$P8730,4,0)</f>
        <v>M</v>
      </c>
      <c r="F57" s="148">
        <f>VLOOKUP($A57,'ANEXO XVII- MEMORIA DE CALCULO'!$A$1:$P8730,9,0)</f>
        <v>220.96</v>
      </c>
      <c r="G57" s="424">
        <f>VLOOKUP($A57,'ANEXO XVII- MEMORIA DE CALCULO'!$A$1:$P8730,16,0)*$J$7</f>
        <v>90.380149999999986</v>
      </c>
      <c r="H57" s="424">
        <f>F57*G57</f>
        <v>19970.397943999997</v>
      </c>
    </row>
    <row r="58" spans="1:11">
      <c r="A58" s="151"/>
      <c r="B58" s="152"/>
      <c r="C58" s="153"/>
      <c r="D58" s="154"/>
      <c r="E58" s="153"/>
      <c r="F58" s="155"/>
      <c r="G58" s="427"/>
      <c r="H58" s="428"/>
      <c r="I58" s="425"/>
    </row>
    <row r="59" spans="1:11">
      <c r="A59" s="429" t="s">
        <v>113</v>
      </c>
      <c r="B59" s="141"/>
      <c r="C59" s="430"/>
      <c r="D59" s="423" t="str">
        <f>VLOOKUP($A59,'ANEXO XVII- MEMORIA DE CALCULO'!$A$1:$P8738,3,0)</f>
        <v>PINTURA</v>
      </c>
      <c r="E59" s="431"/>
      <c r="F59" s="432"/>
      <c r="G59" s="433">
        <f>SUM(H60:H64)</f>
        <v>13835.980899999999</v>
      </c>
      <c r="H59" s="434"/>
    </row>
    <row r="60" spans="1:11" s="425" customFormat="1" ht="24">
      <c r="A60" s="144" t="s">
        <v>115</v>
      </c>
      <c r="B60" s="145" t="str">
        <f>'ANEXO VI- Planilha Orçamentária'!B60</f>
        <v>SINAPI NACIONAL</v>
      </c>
      <c r="C60" s="444">
        <f>VLOOKUP($A60,'ANEXO XVII- MEMORIA DE CALCULO'!$A$1:$P8738,2,0)</f>
        <v>88483</v>
      </c>
      <c r="D60" s="147" t="str">
        <f>VLOOKUP($A60,'ANEXO XVII- MEMORIA DE CALCULO'!$A$1:$P8738,3,0)</f>
        <v>APLICAÇÃO DE FUNDO SELADOR LÁTEX PVA EM PAREDES, UMA DEMÃO. AF_06/2014</v>
      </c>
      <c r="E60" s="146" t="str">
        <f>VLOOKUP($A60,'ANEXO XVII- MEMORIA DE CALCULO'!$A$1:$P8738,4,0)</f>
        <v>M2</v>
      </c>
      <c r="F60" s="148">
        <f>VLOOKUP($A60,'ANEXO XVII- MEMORIA DE CALCULO'!$A$1:$P8738,9,0)</f>
        <v>530.31799999999998</v>
      </c>
      <c r="G60" s="424">
        <f>VLOOKUP($A60,'ANEXO XVII- MEMORIA DE CALCULO'!$A$1:$P8738,16,0)*$J$7</f>
        <v>4.17</v>
      </c>
      <c r="H60" s="424">
        <f>F60*G60</f>
        <v>2211.4260599999998</v>
      </c>
    </row>
    <row r="61" spans="1:11" s="425" customFormat="1" ht="24">
      <c r="A61" s="144" t="s">
        <v>118</v>
      </c>
      <c r="B61" s="145" t="str">
        <f>'ANEXO VI- Planilha Orçamentária'!B61</f>
        <v>SINAPI NACIONAL</v>
      </c>
      <c r="C61" s="444">
        <f>VLOOKUP($A61,'ANEXO XVII- MEMORIA DE CALCULO'!$A$1:$P8739,2,0)</f>
        <v>88495</v>
      </c>
      <c r="D61" s="147" t="str">
        <f>VLOOKUP($A61,'ANEXO XVII- MEMORIA DE CALCULO'!$A$1:$P8739,3,0)</f>
        <v>APLICAÇÃO E LIXAMENTO DE MASSA LÁTEX EM PAREDES, UMA DEMÃO. AF_06/2014</v>
      </c>
      <c r="E61" s="146" t="str">
        <f>VLOOKUP($A61,'ANEXO XVII- MEMORIA DE CALCULO'!$A$1:$P8739,4,0)</f>
        <v>M2</v>
      </c>
      <c r="F61" s="148">
        <f>VLOOKUP($A61,'ANEXO XVII- MEMORIA DE CALCULO'!$A$1:$P8739,9,0)</f>
        <v>530.31799999999998</v>
      </c>
      <c r="G61" s="424">
        <f>VLOOKUP($A61,'ANEXO XVII- MEMORIA DE CALCULO'!$A$1:$P8739,16,0)*$J$7</f>
        <v>5.83</v>
      </c>
      <c r="H61" s="424">
        <f>F61*G61</f>
        <v>3091.7539400000001</v>
      </c>
    </row>
    <row r="62" spans="1:11" s="425" customFormat="1" ht="24">
      <c r="A62" s="144" t="s">
        <v>120</v>
      </c>
      <c r="B62" s="145" t="str">
        <f>'ANEXO VI- Planilha Orçamentária'!B62</f>
        <v>SINAPI NACIONAL</v>
      </c>
      <c r="C62" s="444">
        <f>VLOOKUP($A62,'ANEXO XVII- MEMORIA DE CALCULO'!$A$1:$P8743,2,0)</f>
        <v>88489</v>
      </c>
      <c r="D62" s="147" t="str">
        <f>VLOOKUP($A62,'ANEXO XVII- MEMORIA DE CALCULO'!$A$1:$P8743,3,0)</f>
        <v>APLICAÇÃO MANUAL DE PINTURA COM TINTA LÁTEX ACRÍLICA EM PAREDES, DUAS DEMÃOS. AF_06/2014</v>
      </c>
      <c r="E62" s="146" t="str">
        <f>VLOOKUP($A62,'ANEXO XVII- MEMORIA DE CALCULO'!$A$1:$P8743,4,0)</f>
        <v>M2</v>
      </c>
      <c r="F62" s="148">
        <f>VLOOKUP($A62,'ANEXO XVII- MEMORIA DE CALCULO'!$A$1:$P8743,9,0)</f>
        <v>530.31799999999998</v>
      </c>
      <c r="G62" s="424">
        <f>VLOOKUP($A62,'ANEXO XVII- MEMORIA DE CALCULO'!$A$1:$P8743,16,0)*$J$7</f>
        <v>8.35</v>
      </c>
      <c r="H62" s="424">
        <f>F62*G62</f>
        <v>4428.1552999999994</v>
      </c>
    </row>
    <row r="63" spans="1:11" s="425" customFormat="1">
      <c r="A63" s="144" t="s">
        <v>122</v>
      </c>
      <c r="B63" s="145" t="str">
        <f>'ANEXO VI- Planilha Orçamentária'!B63</f>
        <v>SINAPI NACIONAL</v>
      </c>
      <c r="C63" s="444">
        <f>VLOOKUP($A63,'ANEXO XVII- MEMORIA DE CALCULO'!$A$1:$P8745,2,0)</f>
        <v>84677</v>
      </c>
      <c r="D63" s="147" t="str">
        <f>VLOOKUP($A63,'ANEXO XVII- MEMORIA DE CALCULO'!$A$1:$P8745,3,0)</f>
        <v>VERNIZ SINTETICO BRILHANTE EM CONCRETO OU TIJOLO, DUAS DEMAOS</v>
      </c>
      <c r="E63" s="146" t="str">
        <f>VLOOKUP($A63,'ANEXO XVII- MEMORIA DE CALCULO'!$A$1:$P8745,4,0)</f>
        <v>M2</v>
      </c>
      <c r="F63" s="148">
        <f>VLOOKUP($A63,'ANEXO XVII- MEMORIA DE CALCULO'!$A$1:$P8745,9,0)</f>
        <v>566.93999999999994</v>
      </c>
      <c r="G63" s="424">
        <f>VLOOKUP($A63,'ANEXO XVII- MEMORIA DE CALCULO'!$A$1:$P8745,16,0)*$J$7</f>
        <v>7.24</v>
      </c>
      <c r="H63" s="424">
        <f>F63*G63</f>
        <v>4104.6455999999998</v>
      </c>
    </row>
    <row r="64" spans="1:11">
      <c r="A64" s="151"/>
      <c r="B64" s="152"/>
      <c r="C64" s="153"/>
      <c r="D64" s="154"/>
      <c r="E64" s="153"/>
      <c r="F64" s="155"/>
      <c r="G64" s="427"/>
      <c r="H64" s="428"/>
    </row>
    <row r="65" spans="1:8">
      <c r="A65" s="429" t="s">
        <v>127</v>
      </c>
      <c r="B65" s="141"/>
      <c r="C65" s="430"/>
      <c r="D65" s="423" t="str">
        <f>VLOOKUP($A65,'ANEXO XVII- MEMORIA DE CALCULO'!$A$1:$P8742,3,0)</f>
        <v>INSTALAÇÕES ELÉTRICAS (FORNECIMENTO E INSTALAÇÃO)</v>
      </c>
      <c r="E65" s="431"/>
      <c r="F65" s="432"/>
      <c r="G65" s="433">
        <f>SUM(H66:H87)</f>
        <v>106444.48367333334</v>
      </c>
      <c r="H65" s="434"/>
    </row>
    <row r="66" spans="1:8" s="425" customFormat="1">
      <c r="A66" s="445" t="s">
        <v>129</v>
      </c>
      <c r="B66" s="446"/>
      <c r="C66" s="447">
        <f>VLOOKUP($A66,'ANEXO XVII- MEMORIA DE CALCULO'!$A$1:$P8742,2,0)</f>
        <v>0</v>
      </c>
      <c r="D66" s="448" t="str">
        <f>VLOOKUP($A66,'ANEXO XVII- MEMORIA DE CALCULO'!$A$1:$P8742,3,0)</f>
        <v>QUADROS E CAIXAS</v>
      </c>
      <c r="E66" s="447">
        <f>VLOOKUP($A66,'ANEXO XVII- MEMORIA DE CALCULO'!$A$1:$P8742,4,0)</f>
        <v>0</v>
      </c>
      <c r="F66" s="449"/>
      <c r="G66" s="450"/>
      <c r="H66" s="450"/>
    </row>
    <row r="67" spans="1:8" s="425" customFormat="1">
      <c r="A67" s="451" t="s">
        <v>131</v>
      </c>
      <c r="B67" s="145" t="str">
        <f>'ANEXO VI- Planilha Orçamentária'!B67</f>
        <v>COMPOSIÇÃO</v>
      </c>
      <c r="C67" s="444" t="str">
        <f>VLOOKUP($A67,'ANEXO XVII- MEMORIA DE CALCULO'!$A$1:$P8747,2,0)</f>
        <v>CPU 9.009</v>
      </c>
      <c r="D67" s="147" t="str">
        <f>VLOOKUP($A67,'ANEXO XVII- MEMORIA DE CALCULO'!$A$1:$P8747,3,0)</f>
        <v>CAIXA PARA MEDICAO MONOFASICA PARA USO EXTERNO</v>
      </c>
      <c r="E67" s="146" t="str">
        <f>VLOOKUP($A67,'ANEXO XVII- MEMORIA DE CALCULO'!$A$1:$P8747,4,0)</f>
        <v>UN</v>
      </c>
      <c r="F67" s="148">
        <f>VLOOKUP($A67,'ANEXO XVII- MEMORIA DE CALCULO'!$A$1:$P8747,9,0)</f>
        <v>5</v>
      </c>
      <c r="G67" s="424">
        <f>VLOOKUP($A67,'ANEXO XVII- MEMORIA DE CALCULO'!$A$1:$P8747,16,0)*$J$7</f>
        <v>402.53</v>
      </c>
      <c r="H67" s="424">
        <f>F67*G67</f>
        <v>2012.6499999999999</v>
      </c>
    </row>
    <row r="68" spans="1:8" s="425" customFormat="1">
      <c r="A68" s="451" t="s">
        <v>133</v>
      </c>
      <c r="B68" s="145" t="str">
        <f>'ANEXO VI- Planilha Orçamentária'!B68</f>
        <v>SINAPI NACIONAL</v>
      </c>
      <c r="C68" s="444">
        <f>VLOOKUP($A68,'ANEXO XVII- MEMORIA DE CALCULO'!$A$1:$P8748,2,0)</f>
        <v>83446</v>
      </c>
      <c r="D68" s="147" t="str">
        <f>VLOOKUP($A68,'ANEXO XVII- MEMORIA DE CALCULO'!$A$1:$P8748,3,0)</f>
        <v>CAIXA DE PASSAGEM 30X30X40 COM TAMPA E DRENO BRITA</v>
      </c>
      <c r="E68" s="146" t="str">
        <f>VLOOKUP($A68,'ANEXO XVII- MEMORIA DE CALCULO'!$A$1:$P8748,4,0)</f>
        <v>UN</v>
      </c>
      <c r="F68" s="148">
        <f>VLOOKUP($A68,'ANEXO XVII- MEMORIA DE CALCULO'!$A$1:$P8748,9,0)</f>
        <v>11</v>
      </c>
      <c r="G68" s="424">
        <f>VLOOKUP($A68,'ANEXO XVII- MEMORIA DE CALCULO'!$A$1:$P8748,16,0)*$J$7</f>
        <v>113.09</v>
      </c>
      <c r="H68" s="424">
        <f>F68*G68</f>
        <v>1243.99</v>
      </c>
    </row>
    <row r="69" spans="1:8" s="425" customFormat="1">
      <c r="A69" s="451" t="s">
        <v>135</v>
      </c>
      <c r="B69" s="145" t="str">
        <f>'ANEXO VI- Planilha Orçamentária'!B69</f>
        <v>COMPOSIÇÃO</v>
      </c>
      <c r="C69" s="444" t="str">
        <f>VLOOKUP($A69,'ANEXO XVII- MEMORIA DE CALCULO'!$A$1:$P8749,2,0)</f>
        <v>CPU 9.003</v>
      </c>
      <c r="D69" s="147" t="str">
        <f>VLOOKUP($A69,'ANEXO XVII- MEMORIA DE CALCULO'!$A$1:$P8749,3,0)</f>
        <v>CAIXA DE PASSAGEM 40X40X80 FUNDO BRITA C/ TAMPA</v>
      </c>
      <c r="E69" s="146" t="str">
        <f>VLOOKUP($A69,'ANEXO XVII- MEMORIA DE CALCULO'!$A$1:$P8749,4,0)</f>
        <v>UN</v>
      </c>
      <c r="F69" s="148">
        <f>VLOOKUP($A69,'ANEXO XVII- MEMORIA DE CALCULO'!$A$1:$P8749,9,0)</f>
        <v>5</v>
      </c>
      <c r="G69" s="424">
        <f>VLOOKUP($A69,'ANEXO XVII- MEMORIA DE CALCULO'!$A$1:$P8749,16,0)*$J$7</f>
        <v>182.75790599999999</v>
      </c>
      <c r="H69" s="424">
        <f>F69*G69</f>
        <v>913.78953000000001</v>
      </c>
    </row>
    <row r="70" spans="1:8" s="425" customFormat="1">
      <c r="A70" s="442" t="s">
        <v>137</v>
      </c>
      <c r="B70" s="180"/>
      <c r="C70" s="452">
        <f>VLOOKUP($A70,'ANEXO XVII- MEMORIA DE CALCULO'!$A$1:$P8743,2,0)</f>
        <v>0</v>
      </c>
      <c r="D70" s="443" t="str">
        <f>VLOOKUP($A70,'ANEXO XVII- MEMORIA DE CALCULO'!$A$1:$P8743,3,0)</f>
        <v>ELETRODUTOS</v>
      </c>
      <c r="E70" s="452">
        <f>VLOOKUP($A70,'ANEXO XVII- MEMORIA DE CALCULO'!$A$1:$P8743,4,0)</f>
        <v>0</v>
      </c>
      <c r="F70" s="453">
        <f>VLOOKUP($A70,'ANEXO XVII- MEMORIA DE CALCULO'!$A$1:$P8743,9,0)</f>
        <v>0</v>
      </c>
      <c r="G70" s="454"/>
      <c r="H70" s="454"/>
    </row>
    <row r="71" spans="1:8" s="425" customFormat="1" ht="24">
      <c r="A71" s="451" t="s">
        <v>139</v>
      </c>
      <c r="B71" s="145" t="str">
        <f>'ANEXO VI- Planilha Orçamentária'!B71</f>
        <v>SINAPI NACIONAL</v>
      </c>
      <c r="C71" s="444" t="str">
        <f>VLOOKUP($A71,'ANEXO XVII- MEMORIA DE CALCULO'!$A$1:$P8751,2,0)</f>
        <v>CPU 9.000</v>
      </c>
      <c r="D71" s="147" t="str">
        <f>VLOOKUP($A71,'ANEXO XVII- MEMORIA DE CALCULO'!$A$1:$P8751,3,0)</f>
        <v>ELETRODUTO DE PVC RIGIDO ROSCAVEL DN 15MM (1/2") INCL CONEXOES, FORNECIMENTO E INSTALACAO</v>
      </c>
      <c r="E71" s="146" t="str">
        <f>VLOOKUP($A71,'ANEXO XVII- MEMORIA DE CALCULO'!$A$1:$P8751,4,0)</f>
        <v>M</v>
      </c>
      <c r="F71" s="148">
        <f>VLOOKUP($A71,'ANEXO XVII- MEMORIA DE CALCULO'!$A$1:$P8751,9,0)</f>
        <v>26.5</v>
      </c>
      <c r="G71" s="424">
        <f>VLOOKUP($A71,'ANEXO XVII- MEMORIA DE CALCULO'!$A$1:$P8751,16,0)*$J$7</f>
        <v>22.03</v>
      </c>
      <c r="H71" s="424">
        <f t="shared" ref="H71:H76" si="3">F71*G71</f>
        <v>583.79500000000007</v>
      </c>
    </row>
    <row r="72" spans="1:8" s="425" customFormat="1" ht="24">
      <c r="A72" s="451" t="s">
        <v>141</v>
      </c>
      <c r="B72" s="145" t="str">
        <f>'ANEXO VI- Planilha Orçamentária'!B72</f>
        <v>COMPOSIÇÃO</v>
      </c>
      <c r="C72" s="444" t="str">
        <f>VLOOKUP($A72,'ANEXO XVII- MEMORIA DE CALCULO'!$A$1:$P8752,2,0)</f>
        <v>CPU 9.001</v>
      </c>
      <c r="D72" s="147" t="str">
        <f>VLOOKUP($A72,'ANEXO XVII- MEMORIA DE CALCULO'!$A$1:$P8752,3,0)</f>
        <v>ELETRODUTO DE PVC ROSCÁVEL DE 2 1/2, INCL CONEXOES, FORNECIMENTO E INSTALAÇÃO</v>
      </c>
      <c r="E72" s="146" t="str">
        <f>VLOOKUP($A72,'ANEXO XVII- MEMORIA DE CALCULO'!$A$1:$P8752,4,0)</f>
        <v>M</v>
      </c>
      <c r="F72" s="148">
        <f>VLOOKUP($A72,'ANEXO XVII- MEMORIA DE CALCULO'!$A$1:$P8752,9,0)</f>
        <v>11</v>
      </c>
      <c r="G72" s="424">
        <f>VLOOKUP($A72,'ANEXO XVII- MEMORIA DE CALCULO'!$A$1:$P8752,16,0)*$J$7</f>
        <v>70.69</v>
      </c>
      <c r="H72" s="424">
        <f t="shared" si="3"/>
        <v>777.58999999999992</v>
      </c>
    </row>
    <row r="73" spans="1:8" s="425" customFormat="1" ht="24">
      <c r="A73" s="451" t="s">
        <v>143</v>
      </c>
      <c r="B73" s="145" t="str">
        <f>'ANEXO VI- Planilha Orçamentária'!B73</f>
        <v>COMPOSIÇÃO</v>
      </c>
      <c r="C73" s="444" t="str">
        <f>VLOOKUP($A73,'ANEXO XVII- MEMORIA DE CALCULO'!$A$1:$P8753,2,0)</f>
        <v>CPU 9.002</v>
      </c>
      <c r="D73" s="147" t="str">
        <f>VLOOKUP($A73,'ANEXO XVII- MEMORIA DE CALCULO'!$A$1:$P8753,3,0)</f>
        <v>ELETRODUTO DE PVC RIGIDO ROSCAVEL DN (3/4") INCL CONEXOES, ENVELOPADO - FORNECIMENTO E INSTALACAO</v>
      </c>
      <c r="E73" s="146" t="str">
        <f>VLOOKUP($A73,'ANEXO XVII- MEMORIA DE CALCULO'!$A$1:$P8753,4,0)</f>
        <v>M</v>
      </c>
      <c r="F73" s="148">
        <f>VLOOKUP($A73,'ANEXO XVII- MEMORIA DE CALCULO'!$A$1:$P8753,9,0)</f>
        <v>58.7</v>
      </c>
      <c r="G73" s="424">
        <f>VLOOKUP($A73,'ANEXO XVII- MEMORIA DE CALCULO'!$A$1:$P8753,16,0)*$J$7</f>
        <v>50.878</v>
      </c>
      <c r="H73" s="424">
        <f t="shared" si="3"/>
        <v>2986.5386000000003</v>
      </c>
    </row>
    <row r="74" spans="1:8" s="425" customFormat="1" ht="24">
      <c r="A74" s="451" t="s">
        <v>145</v>
      </c>
      <c r="B74" s="145" t="str">
        <f>'ANEXO VI- Planilha Orçamentária'!B74</f>
        <v>SINAPI NACIONAL</v>
      </c>
      <c r="C74" s="444">
        <f>VLOOKUP($A74,'ANEXO XVII- MEMORIA DE CALCULO'!$A$1:$P8754,2,0)</f>
        <v>72309</v>
      </c>
      <c r="D74" s="147" t="str">
        <f>VLOOKUP($A74,'ANEXO XVII- MEMORIA DE CALCULO'!$A$1:$P8754,3,0)</f>
        <v>ELETRODUTO DE ACO GALVANIZADO ELETROLITICO DN 25MM (1"), TIPO LEVE, INCLUSIVE CONEXOES - FORNECIMENTO E INSTALACAO</v>
      </c>
      <c r="E74" s="146" t="str">
        <f>VLOOKUP($A74,'ANEXO XVII- MEMORIA DE CALCULO'!$A$1:$P8754,4,0)</f>
        <v>M</v>
      </c>
      <c r="F74" s="148">
        <f>VLOOKUP($A74,'ANEXO XVII- MEMORIA DE CALCULO'!$A$1:$P8754,9,0)</f>
        <v>32.5</v>
      </c>
      <c r="G74" s="424">
        <f>VLOOKUP($A74,'ANEXO XVII- MEMORIA DE CALCULO'!$A$1:$P8754,16,0)*$J$7</f>
        <v>23.1</v>
      </c>
      <c r="H74" s="424">
        <f t="shared" si="3"/>
        <v>750.75</v>
      </c>
    </row>
    <row r="75" spans="1:8" s="425" customFormat="1" ht="24">
      <c r="A75" s="451" t="s">
        <v>148</v>
      </c>
      <c r="B75" s="145" t="str">
        <f>'ANEXO VI- Planilha Orçamentária'!B75</f>
        <v>COMPOSIÇÃO</v>
      </c>
      <c r="C75" s="444" t="str">
        <f>VLOOKUP($A75,'ANEXO XVII- MEMORIA DE CALCULO'!$A$1:$P8755,2,0)</f>
        <v>CPU 9.010</v>
      </c>
      <c r="D75" s="147" t="str">
        <f>VLOOKUP($A75,'ANEXO XVII- MEMORIA DE CALCULO'!$A$1:$P8755,3,0)</f>
        <v>ELETRODUTO DE PVC RIGIDO ROSCAVEL DN (3/4") INCL CONEXOES, FORNECIMENTO E INSTALACAO</v>
      </c>
      <c r="E75" s="146" t="str">
        <f>VLOOKUP($A75,'ANEXO XVII- MEMORIA DE CALCULO'!$A$1:$P8755,4,0)</f>
        <v>M</v>
      </c>
      <c r="F75" s="148">
        <f>VLOOKUP($A75,'ANEXO XVII- MEMORIA DE CALCULO'!$A$1:$P8755,9,0)</f>
        <v>114.23999999999998</v>
      </c>
      <c r="G75" s="424">
        <f>VLOOKUP($A75,'ANEXO XVII- MEMORIA DE CALCULO'!$A$1:$P8755,16,0)*$J$7</f>
        <v>25.62</v>
      </c>
      <c r="H75" s="424">
        <f t="shared" si="3"/>
        <v>2926.8287999999998</v>
      </c>
    </row>
    <row r="76" spans="1:8" s="425" customFormat="1" ht="24">
      <c r="A76" s="451" t="s">
        <v>149</v>
      </c>
      <c r="B76" s="145" t="str">
        <f>'ANEXO VI- Planilha Orçamentária'!B76</f>
        <v>COMPOSIÇÃO</v>
      </c>
      <c r="C76" s="444" t="str">
        <f>VLOOKUP($A76,'ANEXO XVII- MEMORIA DE CALCULO'!$A$1:$P8756,2,0)</f>
        <v>CPU 9.004</v>
      </c>
      <c r="D76" s="147" t="str">
        <f>VLOOKUP($A76,'ANEXO XVII- MEMORIA DE CALCULO'!$A$1:$P8756,3,0)</f>
        <v>CURVA FERRO GALVANIZADO 90G ROSCA FEMEA REF. 2 1/2", FORNECIMENTO E INSTALAÇÃO</v>
      </c>
      <c r="E76" s="146" t="str">
        <f>VLOOKUP($A76,'ANEXO XVII- MEMORIA DE CALCULO'!$A$1:$P8756,4,0)</f>
        <v>UN</v>
      </c>
      <c r="F76" s="148">
        <f>VLOOKUP($A76,'ANEXO XVII- MEMORIA DE CALCULO'!$A$1:$P8756,9,0)</f>
        <v>2</v>
      </c>
      <c r="G76" s="424">
        <f>VLOOKUP($A76,'ANEXO XVII- MEMORIA DE CALCULO'!$A$1:$P8756,16,0)*$J$7</f>
        <v>95.274479999999997</v>
      </c>
      <c r="H76" s="424">
        <f t="shared" si="3"/>
        <v>190.54895999999999</v>
      </c>
    </row>
    <row r="77" spans="1:8" s="425" customFormat="1">
      <c r="A77" s="442" t="s">
        <v>151</v>
      </c>
      <c r="B77" s="180"/>
      <c r="C77" s="452">
        <f>VLOOKUP($A77,'ANEXO XVII- MEMORIA DE CALCULO'!$A$1:$P8744,2,0)</f>
        <v>0</v>
      </c>
      <c r="D77" s="443" t="str">
        <f>VLOOKUP($A77,'ANEXO XVII- MEMORIA DE CALCULO'!$A$1:$P8744,3,0)</f>
        <v>CABOS</v>
      </c>
      <c r="E77" s="452">
        <f>VLOOKUP($A77,'ANEXO XVII- MEMORIA DE CALCULO'!$A$1:$P8744,4,0)</f>
        <v>0</v>
      </c>
      <c r="F77" s="453">
        <f>VLOOKUP($A77,'ANEXO XVII- MEMORIA DE CALCULO'!$A$1:$P8744,9,0)</f>
        <v>0</v>
      </c>
      <c r="G77" s="424"/>
      <c r="H77" s="424"/>
    </row>
    <row r="78" spans="1:8" s="425" customFormat="1" ht="24">
      <c r="A78" s="451" t="s">
        <v>153</v>
      </c>
      <c r="B78" s="145" t="str">
        <f>'ANEXO VI- Planilha Orçamentária'!B78</f>
        <v>SINAPI NACIONAL</v>
      </c>
      <c r="C78" s="444">
        <f>VLOOKUP($A78,'ANEXO XVII- MEMORIA DE CALCULO'!$A$1:$P8758,2,0)</f>
        <v>91931</v>
      </c>
      <c r="D78" s="147" t="str">
        <f>VLOOKUP($A78,'ANEXO XVII- MEMORIA DE CALCULO'!$A$1:$P8758,3,0)</f>
        <v>CABO DE COBRE FLEXÍVEL ISOLADO, 6 MM², ANTI-CHAMA 0,6/1,0 KV, PARA CIRCUITOS TERMINAIS - FORNECIMENTO E INSTALAÇÃO. AF_12/2015</v>
      </c>
      <c r="E78" s="146" t="str">
        <f>VLOOKUP($A78,'ANEXO XVII- MEMORIA DE CALCULO'!$A$1:$P8758,4,0)</f>
        <v>M</v>
      </c>
      <c r="F78" s="148">
        <f>VLOOKUP($A78,'ANEXO XVII- MEMORIA DE CALCULO'!$A$1:$P8758,9,0)</f>
        <v>36.800000000000004</v>
      </c>
      <c r="G78" s="424">
        <f>VLOOKUP($A78,'ANEXO XVII- MEMORIA DE CALCULO'!$A$1:$P8758,16,0)*$J$7</f>
        <v>8.44</v>
      </c>
      <c r="H78" s="424">
        <f>F78*G78</f>
        <v>310.59200000000004</v>
      </c>
    </row>
    <row r="79" spans="1:8" s="425" customFormat="1" ht="36">
      <c r="A79" s="451" t="s">
        <v>155</v>
      </c>
      <c r="B79" s="145" t="str">
        <f>'ANEXO VI- Planilha Orçamentária'!B79</f>
        <v>SINAPI NACIONAL</v>
      </c>
      <c r="C79" s="444">
        <f>VLOOKUP($A79,'ANEXO XVII- MEMORIA DE CALCULO'!$A$1:$P8759,2,0)</f>
        <v>91927</v>
      </c>
      <c r="D79" s="147" t="str">
        <f>VLOOKUP($A79,'ANEXO XVII- MEMORIA DE CALCULO'!$A$1:$P8759,3,0)</f>
        <v>CABO DE COBRE FLEXÍVEL ISOLADO, 2,5 MM², ANTI-CHAMA 0,6/1,0 KV, PARA CIRCUITOS TERMINAIS - FORNECIMENTO E INSTALAÇÃO. AF_12/2015</v>
      </c>
      <c r="E79" s="146" t="str">
        <f>VLOOKUP($A79,'ANEXO XVII- MEMORIA DE CALCULO'!$A$1:$P8759,4,0)</f>
        <v>M</v>
      </c>
      <c r="F79" s="148">
        <f>VLOOKUP($A79,'ANEXO XVII- MEMORIA DE CALCULO'!$A$1:$P8759,9,0)</f>
        <v>540</v>
      </c>
      <c r="G79" s="424">
        <f>VLOOKUP($A79,'ANEXO XVII- MEMORIA DE CALCULO'!$A$1:$P8759,16,0)*$J$7</f>
        <v>4</v>
      </c>
      <c r="H79" s="424">
        <f>F79*G79</f>
        <v>2160</v>
      </c>
    </row>
    <row r="80" spans="1:8" s="425" customFormat="1">
      <c r="A80" s="451" t="s">
        <v>157</v>
      </c>
      <c r="B80" s="145" t="str">
        <f>'ANEXO VI- Planilha Orçamentária'!B80</f>
        <v>SINAPI NACIONAL</v>
      </c>
      <c r="C80" s="444">
        <f>VLOOKUP($A80,'ANEXO XVII- MEMORIA DE CALCULO'!$A$1:$P8760,2,0)</f>
        <v>68069</v>
      </c>
      <c r="D80" s="147" t="str">
        <f>VLOOKUP($A80,'ANEXO XVII- MEMORIA DE CALCULO'!$A$1:$P8760,3,0)</f>
        <v>HASTE COPPERWELD 5/8 X 3,0M COM CONECTOR</v>
      </c>
      <c r="E80" s="146" t="str">
        <f>VLOOKUP($A80,'ANEXO XVII- MEMORIA DE CALCULO'!$A$1:$P8760,4,0)</f>
        <v>UN</v>
      </c>
      <c r="F80" s="148">
        <f>VLOOKUP($A80,'ANEXO XVII- MEMORIA DE CALCULO'!$A$1:$P8760,9,0)</f>
        <v>5</v>
      </c>
      <c r="G80" s="424">
        <f>VLOOKUP($A80,'ANEXO XVII- MEMORIA DE CALCULO'!$A$1:$P8760,16,0)*$J$7</f>
        <v>41.76</v>
      </c>
      <c r="H80" s="424">
        <f>F80*G80</f>
        <v>208.79999999999998</v>
      </c>
    </row>
    <row r="81" spans="1:11" s="425" customFormat="1">
      <c r="A81" s="442" t="s">
        <v>159</v>
      </c>
      <c r="B81" s="180"/>
      <c r="C81" s="452">
        <f>VLOOKUP($A81,'ANEXO XVII- MEMORIA DE CALCULO'!$A$1:$P8745,2,0)</f>
        <v>0</v>
      </c>
      <c r="D81" s="443" t="str">
        <f>VLOOKUP($A81,'ANEXO XVII- MEMORIA DE CALCULO'!$A$1:$P8745,3,0)</f>
        <v>POSTES E LUMINÁRIAS</v>
      </c>
      <c r="E81" s="452">
        <f>VLOOKUP($A81,'ANEXO XVII- MEMORIA DE CALCULO'!$A$1:$P8745,4,0)</f>
        <v>0</v>
      </c>
      <c r="F81" s="453"/>
      <c r="G81" s="454"/>
      <c r="H81" s="454"/>
    </row>
    <row r="82" spans="1:11" s="425" customFormat="1" ht="24">
      <c r="A82" s="144" t="s">
        <v>161</v>
      </c>
      <c r="B82" s="145" t="str">
        <f>'ANEXO VI- Planilha Orçamentária'!B82</f>
        <v>COMPOSIÇÃO</v>
      </c>
      <c r="C82" s="146" t="str">
        <f>VLOOKUP($A82,'ANEXO XVII- MEMORIA DE CALCULO'!$A$1:$P8746,2,0)</f>
        <v>CPU 9.005</v>
      </c>
      <c r="D82" s="147" t="str">
        <f>VLOOKUP($A82,'ANEXO XVII- MEMORIA DE CALCULO'!$A$1:$P8746,3,0)</f>
        <v>POSTE DE CONCRETO DUPLO T, 100 KG, H = 8 M (NBR 8451)INCLUSIVE ESCAVACAO, EXCLUSIVE TRANSPORTE - FORNECIMENTO E INSTALAÇÃO</v>
      </c>
      <c r="E82" s="146" t="str">
        <f>VLOOKUP($A82,'ANEXO XVII- MEMORIA DE CALCULO'!$A$1:$P8746,4,0)</f>
        <v>UN</v>
      </c>
      <c r="F82" s="148">
        <f>VLOOKUP($A82,'ANEXO XVII- MEMORIA DE CALCULO'!$A$1:$P8746,9,0)</f>
        <v>2</v>
      </c>
      <c r="G82" s="424">
        <f>VLOOKUP($A82,'ANEXO XVII- MEMORIA DE CALCULO'!$A$1:$P8746,16,0)*$J$7</f>
        <v>544.46872499999995</v>
      </c>
      <c r="H82" s="424">
        <f>F82*G82</f>
        <v>1088.9374499999999</v>
      </c>
    </row>
    <row r="83" spans="1:11" s="425" customFormat="1" ht="24">
      <c r="A83" s="144" t="s">
        <v>163</v>
      </c>
      <c r="B83" s="145" t="str">
        <f>'ANEXO VI- Planilha Orçamentária'!B83</f>
        <v>COMPOSIÇÃO</v>
      </c>
      <c r="C83" s="146" t="str">
        <f>VLOOKUP($A83,'ANEXO XVII- MEMORIA DE CALCULO'!$A$1:$P8747,2,0)</f>
        <v>CPU 9.006</v>
      </c>
      <c r="D83" s="147" t="str">
        <f>VLOOKUP($A83,'ANEXO XVII- MEMORIA DE CALCULO'!$A$1:$P8747,3,0)</f>
        <v>POSTE DE ACO CONICO CONTINUO RETO, COM 04 PETALAS  E LÂMPADAS DE 250W, H=11M - FORNECIMENTO E INSTALACAO</v>
      </c>
      <c r="E83" s="146" t="str">
        <f>VLOOKUP($A83,'ANEXO XVII- MEMORIA DE CALCULO'!$A$1:$P8747,4,0)</f>
        <v>UN</v>
      </c>
      <c r="F83" s="148">
        <f>VLOOKUP($A83,'ANEXO XVII- MEMORIA DE CALCULO'!$A$1:$P8747,9,0)</f>
        <v>2</v>
      </c>
      <c r="G83" s="424">
        <f>VLOOKUP($A83,'ANEXO XVII- MEMORIA DE CALCULO'!$A$1:$P8747,16,0)*$J$7</f>
        <v>3896.9500000000007</v>
      </c>
      <c r="H83" s="424">
        <f>F83*G83</f>
        <v>7793.9000000000015</v>
      </c>
    </row>
    <row r="84" spans="1:11" s="425" customFormat="1" ht="24">
      <c r="A84" s="144" t="s">
        <v>165</v>
      </c>
      <c r="B84" s="145" t="str">
        <f>'ANEXO VI- Planilha Orçamentária'!B84</f>
        <v>COMPOSIÇÃO</v>
      </c>
      <c r="C84" s="146" t="str">
        <f>VLOOKUP($A84,'ANEXO XVII- MEMORIA DE CALCULO'!$A$1:$P8748,2,0)</f>
        <v>CPU 9.007</v>
      </c>
      <c r="D84" s="147" t="str">
        <f>VLOOKUP($A84,'ANEXO XVII- MEMORIA DE CALCULO'!$A$1:$P8748,3,0)</f>
        <v>LUMINÁRIA EW BLAST POWERCORE BCP473 COMPLETA OU SIMILAR - FORNECIMENTO E INSTALAÇÃO</v>
      </c>
      <c r="E84" s="146" t="str">
        <f>VLOOKUP($A84,'ANEXO XVII- MEMORIA DE CALCULO'!$A$1:$P8748,4,0)</f>
        <v>UN</v>
      </c>
      <c r="F84" s="148">
        <f>VLOOKUP($A84,'ANEXO XVII- MEMORIA DE CALCULO'!$A$1:$P8748,9,0)</f>
        <v>10</v>
      </c>
      <c r="G84" s="424">
        <f>VLOOKUP($A84,'ANEXO XVII- MEMORIA DE CALCULO'!$A$1:$P8748,16,0)*$J$7</f>
        <v>4684.5833333333339</v>
      </c>
      <c r="H84" s="424">
        <f>F84*G84</f>
        <v>46845.833333333343</v>
      </c>
    </row>
    <row r="85" spans="1:11" s="425" customFormat="1">
      <c r="A85" s="144" t="s">
        <v>167</v>
      </c>
      <c r="B85" s="145" t="str">
        <f>'ANEXO VI- Planilha Orçamentária'!B85</f>
        <v>COMPOSIÇÃO</v>
      </c>
      <c r="C85" s="146" t="str">
        <f>VLOOKUP($A85,'ANEXO XVII- MEMORIA DE CALCULO'!$A$1:$P8749,2,0)</f>
        <v>CPU 9.008</v>
      </c>
      <c r="D85" s="147" t="str">
        <f>VLOOKUP($A85,'ANEXO XVII- MEMORIA DE CALCULO'!$A$1:$P8749,3,0)</f>
        <v>LUMINARIA AQUALED 2L - FORNECIMENTO E INSTALAÇÃO</v>
      </c>
      <c r="E85" s="146" t="str">
        <f>VLOOKUP($A85,'ANEXO XVII- MEMORIA DE CALCULO'!$A$1:$P8749,4,0)</f>
        <v>UN</v>
      </c>
      <c r="F85" s="148">
        <f>VLOOKUP($A85,'ANEXO XVII- MEMORIA DE CALCULO'!$A$1:$P8749,9,0)</f>
        <v>40</v>
      </c>
      <c r="G85" s="424">
        <f>VLOOKUP($A85,'ANEXO XVII- MEMORIA DE CALCULO'!$A$1:$P8749,16,0)*$J$7</f>
        <v>888.96799999999996</v>
      </c>
      <c r="H85" s="424">
        <f>F85*G85</f>
        <v>35558.720000000001</v>
      </c>
    </row>
    <row r="86" spans="1:11" s="425" customFormat="1" ht="24">
      <c r="A86" s="144" t="s">
        <v>169</v>
      </c>
      <c r="B86" s="145" t="str">
        <f>'ANEXO VI- Planilha Orçamentária'!B86</f>
        <v>SINAPI NACIONAL</v>
      </c>
      <c r="C86" s="146">
        <f>VLOOKUP($A86,'ANEXO XVII- MEMORIA DE CALCULO'!$A$1:$P8750,2,0)</f>
        <v>83399</v>
      </c>
      <c r="D86" s="147" t="str">
        <f>VLOOKUP($A86,'ANEXO XVII- MEMORIA DE CALCULO'!$A$1:$P8750,3,0)</f>
        <v>RELE FOTOELETRICO P/ COMANDO DE ILUMINACAO EXTERNA 220V/1000W - FORNECIMENTO E INSTALACAO</v>
      </c>
      <c r="E86" s="146" t="str">
        <f>VLOOKUP($A86,'ANEXO XVII- MEMORIA DE CALCULO'!$A$1:$P8750,4,0)</f>
        <v>UN</v>
      </c>
      <c r="F86" s="148">
        <f>VLOOKUP($A86,'ANEXO XVII- MEMORIA DE CALCULO'!$A$1:$P8750,9,0)</f>
        <v>2</v>
      </c>
      <c r="G86" s="424">
        <f>VLOOKUP($A86,'ANEXO XVII- MEMORIA DE CALCULO'!$A$1:$P8750,16,0)*$J$7</f>
        <v>45.61</v>
      </c>
      <c r="H86" s="424">
        <f>F86*G86</f>
        <v>91.22</v>
      </c>
    </row>
    <row r="87" spans="1:11">
      <c r="A87" s="151"/>
      <c r="B87" s="152"/>
      <c r="C87" s="153"/>
      <c r="D87" s="154"/>
      <c r="E87" s="153"/>
      <c r="F87" s="155"/>
      <c r="G87" s="427"/>
      <c r="H87" s="428"/>
      <c r="J87" s="455"/>
    </row>
    <row r="88" spans="1:11">
      <c r="A88" s="429" t="s">
        <v>328</v>
      </c>
      <c r="B88" s="141"/>
      <c r="C88" s="430"/>
      <c r="D88" s="423" t="str">
        <f>VLOOKUP($A88,'ANEXO XVII- MEMORIA DE CALCULO'!$A$1:$P8748,3,0)</f>
        <v>DIVERSOS</v>
      </c>
      <c r="E88" s="431"/>
      <c r="F88" s="432"/>
      <c r="G88" s="433">
        <f>SUM(H89:H93)</f>
        <v>54060.209600000002</v>
      </c>
      <c r="H88" s="434"/>
    </row>
    <row r="89" spans="1:11" s="425" customFormat="1" ht="24">
      <c r="A89" s="435" t="s">
        <v>172</v>
      </c>
      <c r="B89" s="145" t="str">
        <f>'ANEXO VI- Planilha Orçamentária'!B89</f>
        <v>SINAPI NACIONAL</v>
      </c>
      <c r="C89" s="436">
        <f>VLOOKUP($A89,'ANEXO XVII- MEMORIA DE CALCULO'!$A$1:$P8748,2,0)</f>
        <v>85180</v>
      </c>
      <c r="D89" s="437" t="str">
        <f>VLOOKUP($A89,'ANEXO XVII- MEMORIA DE CALCULO'!$A$1:$P8748,3,0)</f>
        <v>PLANTIO DE GRAMA ESMERALDA EM ROLO, INCLUSIVE PREPARO DO SOLO</v>
      </c>
      <c r="E89" s="436" t="str">
        <f>VLOOKUP($A89,'ANEXO XVII- MEMORIA DE CALCULO'!$A$1:$P8748,4,0)</f>
        <v>M2</v>
      </c>
      <c r="F89" s="438">
        <f>VLOOKUP($A89,'ANEXO XVII- MEMORIA DE CALCULO'!$A$1:$P8748,9,0)</f>
        <v>405.09000000000003</v>
      </c>
      <c r="G89" s="439">
        <f>VLOOKUP($A89,'ANEXO XVII- MEMORIA DE CALCULO'!$A$1:$P8748,16,0)*$J$7</f>
        <v>13.44</v>
      </c>
      <c r="H89" s="439">
        <f>F89*G89</f>
        <v>5444.4096</v>
      </c>
    </row>
    <row r="90" spans="1:11" s="425" customFormat="1" ht="24">
      <c r="A90" s="144" t="s">
        <v>174</v>
      </c>
      <c r="B90" s="145" t="str">
        <f>'ANEXO VI- Planilha Orçamentária'!B90</f>
        <v>SINAPI NACIONAL</v>
      </c>
      <c r="C90" s="146" t="str">
        <f>VLOOKUP($A90,'ANEXO XVII- MEMORIA DE CALCULO'!$A$1:$P8749,2,0)</f>
        <v>73967/002</v>
      </c>
      <c r="D90" s="147" t="str">
        <f>VLOOKUP($A90,'ANEXO XVII- MEMORIA DE CALCULO'!$A$1:$P8749,3,0)</f>
        <v>PLANTIO DE ARVORE REGIONAL, ALTURA MAIOR QUE 2,00M, EM CAVAS DE 80X80X80CM</v>
      </c>
      <c r="E90" s="146" t="str">
        <f>VLOOKUP($A90,'ANEXO XVII- MEMORIA DE CALCULO'!$A$1:$P8749,4,0)</f>
        <v>UN</v>
      </c>
      <c r="F90" s="148">
        <f>VLOOKUP($A90,'ANEXO XVII- MEMORIA DE CALCULO'!$A$1:$P8749,9,0)</f>
        <v>3</v>
      </c>
      <c r="G90" s="424">
        <f>VLOOKUP($A90,'ANEXO XVII- MEMORIA DE CALCULO'!$A$1:$P8749,16,0)*$J$7</f>
        <v>141.6</v>
      </c>
      <c r="H90" s="424">
        <f>F90*G90</f>
        <v>424.79999999999995</v>
      </c>
    </row>
    <row r="91" spans="1:11" s="425" customFormat="1" ht="24">
      <c r="A91" s="144" t="s">
        <v>177</v>
      </c>
      <c r="B91" s="145" t="str">
        <f>'ANEXO VI- Planilha Orçamentária'!B91</f>
        <v>SINAPI NACIONAL</v>
      </c>
      <c r="C91" s="146">
        <f>VLOOKUP($A91,'ANEXO XVII- MEMORIA DE CALCULO'!$A$1:$P8750,2,0)</f>
        <v>85178</v>
      </c>
      <c r="D91" s="147" t="str">
        <f>VLOOKUP($A91,'ANEXO XVII- MEMORIA DE CALCULO'!$A$1:$P8750,3,0)</f>
        <v>PLANTIO DE ARBUSTO COM ALTURA 50 A 100CM, EM CAVA DE 60X60X60CM</v>
      </c>
      <c r="E91" s="146" t="str">
        <f>VLOOKUP($A91,'ANEXO XVII- MEMORIA DE CALCULO'!$A$1:$P8750,4,0)</f>
        <v>UN</v>
      </c>
      <c r="F91" s="148">
        <f>VLOOKUP($A91,'ANEXO XVII- MEMORIA DE CALCULO'!$A$1:$P8750,9,0)</f>
        <v>262</v>
      </c>
      <c r="G91" s="424">
        <f>VLOOKUP($A91,'ANEXO XVII- MEMORIA DE CALCULO'!$A$1:$P8750,16,0)*$J$7</f>
        <v>71.78</v>
      </c>
      <c r="H91" s="424">
        <f>F91*G91</f>
        <v>18806.36</v>
      </c>
    </row>
    <row r="92" spans="1:11" s="425" customFormat="1" ht="24">
      <c r="A92" s="144" t="s">
        <v>179</v>
      </c>
      <c r="B92" s="145" t="str">
        <f>'ANEXO VI- Planilha Orçamentária'!B92</f>
        <v>COMPOSIÇÃO</v>
      </c>
      <c r="C92" s="146" t="str">
        <f>VLOOKUP($A92,'ANEXO XVII- MEMORIA DE CALCULO'!$A$1:$P8751,2,0)</f>
        <v>CPU 10.001</v>
      </c>
      <c r="D92" s="147" t="str">
        <f>VLOOKUP($A92,'ANEXO XVII- MEMORIA DE CALCULO'!$A$1:$P8751,3,0)</f>
        <v xml:space="preserve">PLACA DE SINALIZACAO EM CHAPA DE ALUMINIO COM PINTURA REFLETIVA, E = 2 MM, INCLUSIVE FIXAÇÃO </v>
      </c>
      <c r="E92" s="146" t="str">
        <f>VLOOKUP($A92,'ANEXO XVII- MEMORIA DE CALCULO'!$A$1:$P8751,4,0)</f>
        <v>M2</v>
      </c>
      <c r="F92" s="148">
        <f>VLOOKUP($A92,'ANEXO XVII- MEMORIA DE CALCULO'!$A$1:$P8751,9,0)</f>
        <v>36.620000000000005</v>
      </c>
      <c r="G92" s="424">
        <f>VLOOKUP($A92,'ANEXO XVII- MEMORIA DE CALCULO'!$A$1:$P8751,16,0)*$J$7</f>
        <v>793.19999999999993</v>
      </c>
      <c r="H92" s="424">
        <f>F92*G92</f>
        <v>29046.984</v>
      </c>
    </row>
    <row r="93" spans="1:11" s="425" customFormat="1">
      <c r="A93" s="144" t="s">
        <v>180</v>
      </c>
      <c r="B93" s="145" t="str">
        <f>'ANEXO VI- Planilha Orçamentária'!B93</f>
        <v>SINAPI NACIONAL</v>
      </c>
      <c r="C93" s="146">
        <f>VLOOKUP($A93,'ANEXO XVII- MEMORIA DE CALCULO'!$A$1:$P8752,2,0)</f>
        <v>9537</v>
      </c>
      <c r="D93" s="147" t="str">
        <f>VLOOKUP($A93,'ANEXO XVII- MEMORIA DE CALCULO'!$A$1:$P8752,3,0)</f>
        <v>LIMPEZA FINAL DA OBRA</v>
      </c>
      <c r="E93" s="146" t="str">
        <f>VLOOKUP($A93,'ANEXO XVII- MEMORIA DE CALCULO'!$A$1:$P8752,4,0)</f>
        <v>M2</v>
      </c>
      <c r="F93" s="148">
        <f>VLOOKUP($A93,'ANEXO XVII- MEMORIA DE CALCULO'!$A$1:$P8752,9,0)</f>
        <v>191.85</v>
      </c>
      <c r="G93" s="424">
        <f>VLOOKUP($A93,'ANEXO XVII- MEMORIA DE CALCULO'!$A$1:$P8752,16,0)*$J$7</f>
        <v>1.76</v>
      </c>
      <c r="H93" s="424">
        <f>F93*G93</f>
        <v>337.65600000000001</v>
      </c>
    </row>
    <row r="94" spans="1:11">
      <c r="A94" s="151"/>
      <c r="B94" s="152"/>
      <c r="C94" s="153"/>
      <c r="D94" s="154"/>
      <c r="E94" s="153"/>
      <c r="F94" s="155"/>
      <c r="G94" s="427"/>
      <c r="H94" s="428"/>
    </row>
    <row r="95" spans="1:11">
      <c r="A95" s="144"/>
      <c r="B95" s="145"/>
      <c r="C95" s="146"/>
      <c r="D95" s="147"/>
      <c r="E95" s="146"/>
      <c r="F95" s="148"/>
      <c r="G95" s="205" t="s">
        <v>330</v>
      </c>
      <c r="H95" s="456">
        <f>SUM(H10:H94)</f>
        <v>661838.37537386955</v>
      </c>
      <c r="J95" s="457"/>
    </row>
    <row r="96" spans="1:11">
      <c r="A96" s="193"/>
      <c r="B96" s="194"/>
      <c r="C96" s="195"/>
      <c r="D96" s="196" t="s">
        <v>332</v>
      </c>
      <c r="E96" s="198"/>
      <c r="F96" s="198"/>
      <c r="G96" s="205"/>
      <c r="H96" s="424"/>
      <c r="I96" s="458"/>
      <c r="J96" s="458"/>
      <c r="K96" s="459"/>
    </row>
    <row r="97" spans="1:11">
      <c r="A97" s="193"/>
      <c r="B97" s="194"/>
      <c r="C97" s="195"/>
      <c r="D97" s="206" t="s">
        <v>333</v>
      </c>
      <c r="E97" s="198"/>
      <c r="F97" s="198"/>
      <c r="G97" s="205"/>
      <c r="H97" s="424"/>
      <c r="I97" s="458"/>
      <c r="J97" s="458"/>
      <c r="K97" s="459"/>
    </row>
    <row r="98" spans="1:11">
      <c r="A98" s="207"/>
      <c r="B98" s="208"/>
      <c r="C98" s="208"/>
      <c r="D98" s="209"/>
      <c r="E98" s="210"/>
      <c r="F98" s="211"/>
      <c r="G98" s="212"/>
      <c r="H98" s="460"/>
      <c r="I98" s="219"/>
      <c r="J98" s="219"/>
      <c r="K98" s="461"/>
    </row>
    <row r="99" spans="1:11">
      <c r="C99" s="113"/>
      <c r="D99" s="113"/>
      <c r="I99" s="462"/>
      <c r="J99" s="462"/>
      <c r="K99" s="462"/>
    </row>
    <row r="100" spans="1:11">
      <c r="C100" s="113"/>
      <c r="D100" s="463"/>
    </row>
    <row r="101" spans="1:11">
      <c r="C101" s="113"/>
      <c r="D101" s="113"/>
      <c r="F101" s="782" t="str">
        <f>'ANEXO VI- Planilha Orçamentária'!I103</f>
        <v xml:space="preserve"> Moreno, março de 2016</v>
      </c>
      <c r="G101" s="782"/>
      <c r="H101" s="782"/>
    </row>
    <row r="102" spans="1:11">
      <c r="C102" s="113"/>
      <c r="D102" s="113"/>
    </row>
    <row r="103" spans="1:11">
      <c r="C103" s="113"/>
      <c r="D103" s="113"/>
    </row>
    <row r="104" spans="1:11">
      <c r="C104" s="113"/>
      <c r="D104" s="113"/>
    </row>
    <row r="105" spans="1:11">
      <c r="C105" s="113"/>
      <c r="D105" s="113"/>
    </row>
    <row r="106" spans="1:11">
      <c r="C106" s="113"/>
      <c r="D106" s="113"/>
    </row>
    <row r="107" spans="1:11">
      <c r="C107" s="113"/>
      <c r="D107" s="113"/>
    </row>
    <row r="108" spans="1:11">
      <c r="C108" s="113"/>
      <c r="D108" s="113"/>
    </row>
    <row r="109" spans="1:11">
      <c r="C109" s="113"/>
      <c r="D109" s="113"/>
    </row>
    <row r="110" spans="1:11">
      <c r="A110" s="777" t="str">
        <f>'ANEXO VI- Planilha Orçamentária'!A111:K111</f>
        <v>Gusmão Planejamento e Obras Ltda</v>
      </c>
      <c r="B110" s="777"/>
      <c r="C110" s="777"/>
      <c r="D110" s="777"/>
      <c r="E110" s="777"/>
      <c r="F110" s="777"/>
      <c r="G110" s="777"/>
      <c r="H110" s="777"/>
    </row>
    <row r="111" spans="1:11">
      <c r="A111" s="774" t="str">
        <f>'ANEXO VI- Planilha Orçamentária'!A112:K112</f>
        <v>Antônio Nunes da Silva Filho</v>
      </c>
      <c r="B111" s="774"/>
      <c r="C111" s="774"/>
      <c r="D111" s="774"/>
      <c r="E111" s="774"/>
      <c r="F111" s="774"/>
      <c r="G111" s="774"/>
      <c r="H111" s="774"/>
    </row>
    <row r="112" spans="1:11">
      <c r="A112" s="774" t="str">
        <f>'ANEXO VI- Planilha Orçamentária'!A113:K113</f>
        <v>Eng. Civil - CREA 16.122 - D/PE</v>
      </c>
      <c r="B112" s="774"/>
      <c r="C112" s="774"/>
      <c r="D112" s="774"/>
      <c r="E112" s="774"/>
      <c r="F112" s="774"/>
      <c r="G112" s="774"/>
      <c r="H112" s="774"/>
    </row>
  </sheetData>
  <sheetProtection selectLockedCells="1" selectUnlockedCells="1"/>
  <mergeCells count="16">
    <mergeCell ref="F7:F8"/>
    <mergeCell ref="G7:H7"/>
    <mergeCell ref="F101:H101"/>
    <mergeCell ref="A110:H110"/>
    <mergeCell ref="A111:H111"/>
    <mergeCell ref="A112:H112"/>
    <mergeCell ref="A2:H2"/>
    <mergeCell ref="B4:D4"/>
    <mergeCell ref="E4:F4"/>
    <mergeCell ref="E5:F5"/>
    <mergeCell ref="F6:H6"/>
    <mergeCell ref="A7:A8"/>
    <mergeCell ref="B7:B8"/>
    <mergeCell ref="C7:C8"/>
    <mergeCell ref="D7:D8"/>
    <mergeCell ref="E7:E8"/>
  </mergeCells>
  <pageMargins left="0.51180555555555551" right="0.51180555555555551" top="0.78749999999999998" bottom="0.78749999999999998" header="0.51180555555555551" footer="0.31527777777777777"/>
  <pageSetup paperSize="9" scale="57" firstPageNumber="0" fitToHeight="0" orientation="portrait" horizontalDpi="300" verticalDpi="300" r:id="rId1"/>
  <headerFooter alignWithMargins="0">
    <oddFooter>&amp;L&amp;A&amp;CPágina &amp;P de &amp;N&amp;R&amp;"-,Negrito"&amp;9 07+000Antônio Nunes da Silva Filho
Eng. Civil - CREA 16.122 - D/PE</oddFooter>
  </headerFooter>
  <rowBreaks count="1" manualBreakCount="1">
    <brk id="5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zoomScale="85" zoomScaleSheetLayoutView="85" workbookViewId="0">
      <selection activeCell="A7" sqref="A7"/>
    </sheetView>
  </sheetViews>
  <sheetFormatPr defaultColWidth="9" defaultRowHeight="15"/>
  <cols>
    <col min="1" max="2" width="9" customWidth="1"/>
    <col min="3" max="3" width="42.42578125" customWidth="1"/>
    <col min="4" max="4" width="12.140625" customWidth="1"/>
    <col min="5" max="5" width="13.5703125" customWidth="1"/>
    <col min="6" max="6" width="11.5703125" style="113" customWidth="1"/>
    <col min="7" max="7" width="12" style="113" customWidth="1"/>
    <col min="8" max="9" width="10.85546875" style="113" customWidth="1"/>
    <col min="10" max="10" width="9" customWidth="1"/>
    <col min="11" max="11" width="10.140625" customWidth="1"/>
  </cols>
  <sheetData>
    <row r="1" spans="1:11">
      <c r="A1" s="464"/>
      <c r="B1" s="465"/>
      <c r="C1" s="466"/>
      <c r="D1" s="464"/>
      <c r="E1" s="466"/>
      <c r="F1" s="467"/>
      <c r="G1" s="467"/>
      <c r="H1" s="467"/>
      <c r="I1" s="467"/>
    </row>
    <row r="2" spans="1:11">
      <c r="A2" s="783" t="s">
        <v>437</v>
      </c>
      <c r="B2" s="783"/>
      <c r="C2" s="783"/>
      <c r="D2" s="783"/>
      <c r="E2" s="783"/>
      <c r="F2" s="783"/>
      <c r="G2" s="783"/>
      <c r="H2" s="783"/>
      <c r="I2" s="467"/>
    </row>
    <row r="3" spans="1:11" ht="15" customHeight="1">
      <c r="A3" s="468" t="str">
        <f>RESUMO!A7</f>
        <v>OBJETO:</v>
      </c>
      <c r="B3" s="784" t="str">
        <f>RESUMO!B7</f>
        <v>Construção dos pórticos de acesso a cidade de Moreno</v>
      </c>
      <c r="C3" s="784"/>
      <c r="D3" s="469"/>
      <c r="E3" s="469"/>
      <c r="F3" s="468" t="str">
        <f>RESUMO!D7</f>
        <v xml:space="preserve">Município:  </v>
      </c>
      <c r="G3" s="469" t="str">
        <f>RESUMO!E7</f>
        <v>Moreno/PE</v>
      </c>
      <c r="H3" s="469"/>
      <c r="I3" s="467"/>
    </row>
    <row r="4" spans="1:11">
      <c r="A4" s="468" t="str">
        <f>RESUMO!A8</f>
        <v>LOCAL:</v>
      </c>
      <c r="B4" s="784" t="str">
        <f>RESUMO!B8</f>
        <v>Moreno - PE</v>
      </c>
      <c r="C4" s="784"/>
      <c r="D4" s="469"/>
      <c r="E4" s="469"/>
      <c r="F4" s="468" t="str">
        <f>RESUMO!D8</f>
        <v>Data:</v>
      </c>
      <c r="G4" s="470">
        <f ca="1">RESUMO!E8</f>
        <v>45054</v>
      </c>
      <c r="H4" s="469"/>
      <c r="I4" s="467"/>
    </row>
    <row r="5" spans="1:11">
      <c r="A5" s="469"/>
      <c r="B5" s="469"/>
      <c r="C5" s="469"/>
      <c r="D5" s="469"/>
      <c r="E5" s="469"/>
      <c r="F5" s="469"/>
      <c r="G5" s="469"/>
      <c r="H5" s="469"/>
      <c r="I5" s="467"/>
    </row>
    <row r="6" spans="1:11">
      <c r="I6" s="467"/>
    </row>
    <row r="7" spans="1:11" ht="20.25">
      <c r="A7" s="785" t="s">
        <v>438</v>
      </c>
      <c r="B7" s="785"/>
      <c r="C7" s="785"/>
      <c r="D7" s="785"/>
      <c r="E7" s="785"/>
      <c r="F7" s="785"/>
      <c r="G7" s="785"/>
      <c r="H7" s="785"/>
      <c r="I7" s="785"/>
    </row>
    <row r="8" spans="1:11" ht="15.75">
      <c r="A8" s="471"/>
      <c r="B8" s="472"/>
      <c r="C8" s="472"/>
      <c r="D8" s="472"/>
      <c r="E8" s="472"/>
      <c r="F8" s="473"/>
      <c r="G8" s="473"/>
      <c r="H8" s="473"/>
      <c r="I8" s="473"/>
    </row>
    <row r="9" spans="1:11" ht="15" customHeight="1">
      <c r="A9" s="786" t="s">
        <v>0</v>
      </c>
      <c r="B9" s="786" t="s">
        <v>439</v>
      </c>
      <c r="C9" s="786"/>
      <c r="D9" s="786" t="s">
        <v>440</v>
      </c>
      <c r="E9" s="786" t="s">
        <v>441</v>
      </c>
      <c r="F9" s="786">
        <v>30</v>
      </c>
      <c r="G9" s="786">
        <v>60</v>
      </c>
      <c r="H9" s="786">
        <v>90</v>
      </c>
      <c r="I9" s="786">
        <v>120</v>
      </c>
    </row>
    <row r="10" spans="1:11">
      <c r="A10" s="786"/>
      <c r="B10" s="786"/>
      <c r="C10" s="786"/>
      <c r="D10" s="786"/>
      <c r="E10" s="786"/>
      <c r="F10" s="786"/>
      <c r="G10" s="786"/>
      <c r="H10" s="786"/>
      <c r="I10" s="786"/>
    </row>
    <row r="11" spans="1:11">
      <c r="A11" s="787">
        <v>1</v>
      </c>
      <c r="B11" s="788" t="str">
        <f>RESUMO!B13</f>
        <v>ADMINISTRAÇÃO DA OBRA</v>
      </c>
      <c r="C11" s="788"/>
      <c r="D11" s="789">
        <f>RESUMO!D13</f>
        <v>62716.04</v>
      </c>
      <c r="E11" s="790">
        <f>D11/$D$41</f>
        <v>7.6042773877340777E-2</v>
      </c>
      <c r="F11" s="475">
        <f>F12*$D$11</f>
        <v>15679.01</v>
      </c>
      <c r="G11" s="475">
        <f>G12*$D$11</f>
        <v>15679.01</v>
      </c>
      <c r="H11" s="475">
        <f>H12*$D$11</f>
        <v>15679.01</v>
      </c>
      <c r="I11" s="475">
        <f>I12*$D$11</f>
        <v>15679.01</v>
      </c>
      <c r="K11" s="476">
        <f>SUM(F11:I11)</f>
        <v>62716.04</v>
      </c>
    </row>
    <row r="12" spans="1:11">
      <c r="A12" s="787"/>
      <c r="B12" s="788"/>
      <c r="C12" s="788"/>
      <c r="D12" s="789"/>
      <c r="E12" s="790"/>
      <c r="F12" s="477">
        <v>0.25</v>
      </c>
      <c r="G12" s="477">
        <v>0.25</v>
      </c>
      <c r="H12" s="477">
        <v>0.25</v>
      </c>
      <c r="I12" s="477">
        <v>0.25</v>
      </c>
    </row>
    <row r="13" spans="1:11" ht="5.25" customHeight="1">
      <c r="A13" s="787"/>
      <c r="B13" s="788"/>
      <c r="C13" s="788"/>
      <c r="D13" s="789"/>
      <c r="E13" s="790"/>
      <c r="F13" s="478"/>
      <c r="G13" s="478"/>
      <c r="H13" s="478"/>
      <c r="I13" s="478"/>
    </row>
    <row r="14" spans="1:11">
      <c r="A14" s="787">
        <v>3</v>
      </c>
      <c r="B14" s="788" t="str">
        <f>RESUMO!B14</f>
        <v>SERVIÇOS PRELIMINARES</v>
      </c>
      <c r="C14" s="788"/>
      <c r="D14" s="789">
        <f>'ANEXO VI- Planilha Orçamentária'!G12</f>
        <v>43410.119400000003</v>
      </c>
      <c r="E14" s="790">
        <f>D14/$D$41</f>
        <v>5.2634475861718384E-2</v>
      </c>
      <c r="F14" s="475">
        <f>F15*$D$14</f>
        <v>21705.059700000002</v>
      </c>
      <c r="G14" s="475">
        <f>G15*$D$14</f>
        <v>21705.059700000002</v>
      </c>
      <c r="H14" s="791"/>
      <c r="I14" s="791"/>
    </row>
    <row r="15" spans="1:11">
      <c r="A15" s="787"/>
      <c r="B15" s="788"/>
      <c r="C15" s="788"/>
      <c r="D15" s="789"/>
      <c r="E15" s="790"/>
      <c r="F15" s="477">
        <v>0.5</v>
      </c>
      <c r="G15" s="477">
        <v>0.5</v>
      </c>
      <c r="H15" s="791"/>
      <c r="I15" s="791"/>
    </row>
    <row r="16" spans="1:11" ht="5.25" customHeight="1">
      <c r="A16" s="787"/>
      <c r="B16" s="788"/>
      <c r="C16" s="788"/>
      <c r="D16" s="789"/>
      <c r="E16" s="790"/>
      <c r="F16" s="478"/>
      <c r="G16" s="478"/>
      <c r="H16" s="791"/>
      <c r="I16" s="791"/>
    </row>
    <row r="17" spans="1:9">
      <c r="A17" s="787">
        <v>3</v>
      </c>
      <c r="B17" s="788" t="str">
        <f>RESUMO!B15</f>
        <v>FECHAMENTO, LIMPEZA, DEMOLIÇÕES E RETIRADAS</v>
      </c>
      <c r="C17" s="788"/>
      <c r="D17" s="789">
        <f>RESUMO!D15</f>
        <v>14503.65</v>
      </c>
      <c r="E17" s="790">
        <f>D17/$D$41</f>
        <v>1.7585577427179613E-2</v>
      </c>
      <c r="F17" s="475">
        <f>F18*$D$17</f>
        <v>7251.8249999999998</v>
      </c>
      <c r="G17" s="475">
        <f>G18*$D$17</f>
        <v>7251.8249999999998</v>
      </c>
      <c r="H17" s="791"/>
      <c r="I17" s="791"/>
    </row>
    <row r="18" spans="1:9">
      <c r="A18" s="787"/>
      <c r="B18" s="788"/>
      <c r="C18" s="788"/>
      <c r="D18" s="789"/>
      <c r="E18" s="790"/>
      <c r="F18" s="477">
        <v>0.5</v>
      </c>
      <c r="G18" s="477">
        <v>0.5</v>
      </c>
      <c r="H18" s="791"/>
      <c r="I18" s="791"/>
    </row>
    <row r="19" spans="1:9" ht="5.25" customHeight="1">
      <c r="A19" s="787"/>
      <c r="B19" s="788"/>
      <c r="C19" s="788"/>
      <c r="D19" s="789"/>
      <c r="E19" s="790"/>
      <c r="F19" s="478"/>
      <c r="G19" s="478"/>
      <c r="H19" s="791"/>
      <c r="I19" s="791"/>
    </row>
    <row r="20" spans="1:9">
      <c r="A20" s="787">
        <v>4</v>
      </c>
      <c r="B20" s="788" t="str">
        <f>RESUMO!B16</f>
        <v>MOVIMENTO DE TERRA</v>
      </c>
      <c r="C20" s="788"/>
      <c r="D20" s="789">
        <f>RESUMO!D16</f>
        <v>13581.554</v>
      </c>
      <c r="E20" s="790">
        <f>D20/$D$41</f>
        <v>1.6467542270285133E-2</v>
      </c>
      <c r="F20" s="475">
        <f>F21*$D$20</f>
        <v>6790.777</v>
      </c>
      <c r="G20" s="475">
        <f>G21*$D$20</f>
        <v>6790.777</v>
      </c>
      <c r="H20" s="791"/>
      <c r="I20" s="791"/>
    </row>
    <row r="21" spans="1:9">
      <c r="A21" s="787"/>
      <c r="B21" s="788"/>
      <c r="C21" s="788"/>
      <c r="D21" s="789"/>
      <c r="E21" s="790"/>
      <c r="F21" s="477">
        <v>0.5</v>
      </c>
      <c r="G21" s="477">
        <v>0.5</v>
      </c>
      <c r="H21" s="791"/>
      <c r="I21" s="791"/>
    </row>
    <row r="22" spans="1:9" ht="5.25" customHeight="1">
      <c r="A22" s="787"/>
      <c r="B22" s="788"/>
      <c r="C22" s="788"/>
      <c r="D22" s="789"/>
      <c r="E22" s="790"/>
      <c r="F22" s="478"/>
      <c r="G22" s="478"/>
      <c r="H22" s="791"/>
      <c r="I22" s="791"/>
    </row>
    <row r="23" spans="1:9">
      <c r="A23" s="787">
        <v>5</v>
      </c>
      <c r="B23" s="792" t="str">
        <f>RESUMO!B17</f>
        <v>CARGA E TRANSPORTE DE MATERIAIS</v>
      </c>
      <c r="C23" s="792"/>
      <c r="D23" s="789">
        <f>RESUMO!D17</f>
        <v>51692.59</v>
      </c>
      <c r="E23" s="790">
        <f>D23/$D$41</f>
        <v>6.2676915387261167E-2</v>
      </c>
      <c r="F23" s="475">
        <f>F24*$D$23</f>
        <v>25846.294999999998</v>
      </c>
      <c r="G23" s="475">
        <f>G24*$D$23</f>
        <v>25846.294999999998</v>
      </c>
      <c r="H23" s="791"/>
      <c r="I23" s="791"/>
    </row>
    <row r="24" spans="1:9">
      <c r="A24" s="787"/>
      <c r="B24" s="792"/>
      <c r="C24" s="792"/>
      <c r="D24" s="789"/>
      <c r="E24" s="790"/>
      <c r="F24" s="477">
        <v>0.5</v>
      </c>
      <c r="G24" s="477">
        <v>0.5</v>
      </c>
      <c r="H24" s="791"/>
      <c r="I24" s="791"/>
    </row>
    <row r="25" spans="1:9" ht="5.25" customHeight="1">
      <c r="A25" s="787"/>
      <c r="B25" s="792"/>
      <c r="C25" s="792"/>
      <c r="D25" s="789"/>
      <c r="E25" s="790"/>
      <c r="F25" s="478"/>
      <c r="G25" s="478"/>
      <c r="H25" s="791"/>
      <c r="I25" s="791"/>
    </row>
    <row r="26" spans="1:9">
      <c r="A26" s="787">
        <v>6</v>
      </c>
      <c r="B26" s="788" t="str">
        <f>RESUMO!B18</f>
        <v>ESTRUTURAS DE CONCRETO - FUNDAÇÃO E SUPERESTRUTURA</v>
      </c>
      <c r="C26" s="788"/>
      <c r="D26" s="789">
        <f>RESUMO!D18</f>
        <v>381824.15</v>
      </c>
      <c r="E26" s="790">
        <f>D26/$D$41</f>
        <v>0.46295919671200303</v>
      </c>
      <c r="F26" s="475">
        <f>F27*$D$26</f>
        <v>95456.037500000006</v>
      </c>
      <c r="G26" s="475">
        <f>G27*$D$26</f>
        <v>95456.037500000006</v>
      </c>
      <c r="H26" s="475">
        <f>H27*$D$26</f>
        <v>95456.037500000006</v>
      </c>
      <c r="I26" s="475">
        <f>I27*$D$26</f>
        <v>95456.037500000006</v>
      </c>
    </row>
    <row r="27" spans="1:9">
      <c r="A27" s="787"/>
      <c r="B27" s="788"/>
      <c r="C27" s="788"/>
      <c r="D27" s="789"/>
      <c r="E27" s="790"/>
      <c r="F27" s="477">
        <v>0.25</v>
      </c>
      <c r="G27" s="477">
        <v>0.25</v>
      </c>
      <c r="H27" s="477">
        <v>0.25</v>
      </c>
      <c r="I27" s="477">
        <v>0.25</v>
      </c>
    </row>
    <row r="28" spans="1:9" ht="5.25" customHeight="1">
      <c r="A28" s="787"/>
      <c r="B28" s="788"/>
      <c r="C28" s="788"/>
      <c r="D28" s="789"/>
      <c r="E28" s="790"/>
      <c r="F28" s="478"/>
      <c r="G28" s="478"/>
      <c r="H28" s="478"/>
      <c r="I28" s="478"/>
    </row>
    <row r="29" spans="1:9">
      <c r="A29" s="787">
        <v>7</v>
      </c>
      <c r="B29" s="788" t="str">
        <f>RESUMO!B19</f>
        <v>PISOS (FORNECIMENTO E COLOCAÇÃO)</v>
      </c>
      <c r="C29" s="788"/>
      <c r="D29" s="789">
        <f>RESUMO!D19</f>
        <v>39089.339999999997</v>
      </c>
      <c r="E29" s="790">
        <f>D29/$D$41</f>
        <v>4.7395560093310925E-2</v>
      </c>
      <c r="F29" s="475"/>
      <c r="G29" s="475"/>
      <c r="H29" s="475">
        <f>H30*$D$29</f>
        <v>19544.669999999998</v>
      </c>
      <c r="I29" s="475">
        <f>I30*$D$29</f>
        <v>19544.669999999998</v>
      </c>
    </row>
    <row r="30" spans="1:9">
      <c r="A30" s="787"/>
      <c r="B30" s="788"/>
      <c r="C30" s="788"/>
      <c r="D30" s="789"/>
      <c r="E30" s="790"/>
      <c r="F30" s="477"/>
      <c r="G30" s="477"/>
      <c r="H30" s="477">
        <v>0.5</v>
      </c>
      <c r="I30" s="477">
        <v>0.5</v>
      </c>
    </row>
    <row r="31" spans="1:9" ht="5.25" customHeight="1">
      <c r="A31" s="787"/>
      <c r="B31" s="788"/>
      <c r="C31" s="788"/>
      <c r="D31" s="789"/>
      <c r="E31" s="790"/>
      <c r="F31" s="478"/>
      <c r="G31" s="478"/>
      <c r="H31" s="478"/>
      <c r="I31" s="478"/>
    </row>
    <row r="32" spans="1:9">
      <c r="A32" s="787">
        <v>8</v>
      </c>
      <c r="B32" s="788" t="str">
        <f>RESUMO!B20</f>
        <v>PINTURA</v>
      </c>
      <c r="C32" s="788"/>
      <c r="D32" s="789">
        <f>RESUMO!D20</f>
        <v>17296.350000000002</v>
      </c>
      <c r="E32" s="790">
        <f>D32/$D$41</f>
        <v>2.0971707269039044E-2</v>
      </c>
      <c r="F32" s="475"/>
      <c r="G32" s="475"/>
      <c r="H32" s="475"/>
      <c r="I32" s="475">
        <f>I33*$D$32</f>
        <v>17296.350000000002</v>
      </c>
    </row>
    <row r="33" spans="1:11">
      <c r="A33" s="787"/>
      <c r="B33" s="788"/>
      <c r="C33" s="788"/>
      <c r="D33" s="789"/>
      <c r="E33" s="790"/>
      <c r="F33" s="477"/>
      <c r="G33" s="477"/>
      <c r="H33" s="477"/>
      <c r="I33" s="477">
        <v>1</v>
      </c>
    </row>
    <row r="34" spans="1:11" ht="6" customHeight="1">
      <c r="A34" s="787"/>
      <c r="B34" s="788"/>
      <c r="C34" s="788"/>
      <c r="D34" s="789"/>
      <c r="E34" s="790"/>
      <c r="F34" s="478"/>
      <c r="G34" s="478"/>
      <c r="H34" s="478"/>
      <c r="I34" s="478"/>
    </row>
    <row r="35" spans="1:11">
      <c r="A35" s="787">
        <v>9</v>
      </c>
      <c r="B35" s="788" t="str">
        <f>RESUMO!B21</f>
        <v>INSTALAÇÕES ELÉTRICAS (FORNECIMENTO E INSTALAÇÃO)</v>
      </c>
      <c r="C35" s="788"/>
      <c r="D35" s="789">
        <f>RESUMO!D21</f>
        <v>133056.50999999998</v>
      </c>
      <c r="E35" s="790">
        <f>D35/$D$41</f>
        <v>0.16133011750802714</v>
      </c>
      <c r="F35" s="475">
        <f>F36*$D$35</f>
        <v>33264.127499999995</v>
      </c>
      <c r="G35" s="475">
        <f>G36*$D$35</f>
        <v>33264.127499999995</v>
      </c>
      <c r="H35" s="475">
        <f>H36*$D$35</f>
        <v>33264.127499999995</v>
      </c>
      <c r="I35" s="475">
        <f>I36*$D$35</f>
        <v>33264.127499999995</v>
      </c>
    </row>
    <row r="36" spans="1:11">
      <c r="A36" s="787"/>
      <c r="B36" s="788"/>
      <c r="C36" s="788"/>
      <c r="D36" s="789"/>
      <c r="E36" s="790"/>
      <c r="F36" s="477">
        <v>0.25</v>
      </c>
      <c r="G36" s="477">
        <v>0.25</v>
      </c>
      <c r="H36" s="477">
        <v>0.25</v>
      </c>
      <c r="I36" s="477">
        <v>0.25</v>
      </c>
    </row>
    <row r="37" spans="1:11" ht="5.25" customHeight="1">
      <c r="A37" s="787"/>
      <c r="B37" s="788"/>
      <c r="C37" s="788"/>
      <c r="D37" s="789"/>
      <c r="E37" s="790"/>
      <c r="F37" s="478"/>
      <c r="G37" s="478"/>
      <c r="H37" s="478"/>
      <c r="I37" s="478"/>
    </row>
    <row r="38" spans="1:11">
      <c r="A38" s="787">
        <v>10</v>
      </c>
      <c r="B38" s="788" t="str">
        <f>RESUMO!B22</f>
        <v>DIVERSOS</v>
      </c>
      <c r="C38" s="788"/>
      <c r="D38" s="789">
        <f>RESUMO!D22</f>
        <v>67576.570000000007</v>
      </c>
      <c r="E38" s="790">
        <f>D38/$D$41</f>
        <v>8.1936133593834864E-2</v>
      </c>
      <c r="F38" s="474"/>
      <c r="G38" s="474"/>
      <c r="H38" s="475">
        <f>H39*$D$38</f>
        <v>33788.285000000003</v>
      </c>
      <c r="I38" s="475">
        <f>I39*$D$38</f>
        <v>33788.285000000003</v>
      </c>
    </row>
    <row r="39" spans="1:11">
      <c r="A39" s="787"/>
      <c r="B39" s="788"/>
      <c r="C39" s="788"/>
      <c r="D39" s="789"/>
      <c r="E39" s="790"/>
      <c r="F39" s="477"/>
      <c r="G39" s="477"/>
      <c r="H39" s="477">
        <v>0.5</v>
      </c>
      <c r="I39" s="477">
        <v>0.5</v>
      </c>
    </row>
    <row r="40" spans="1:11" ht="6" customHeight="1">
      <c r="A40" s="787"/>
      <c r="B40" s="788"/>
      <c r="C40" s="788"/>
      <c r="D40" s="789"/>
      <c r="E40" s="790"/>
      <c r="F40" s="478"/>
      <c r="G40" s="478"/>
      <c r="H40" s="478"/>
      <c r="I40" s="478"/>
    </row>
    <row r="41" spans="1:11" ht="15" customHeight="1">
      <c r="A41" s="794" t="s">
        <v>442</v>
      </c>
      <c r="B41" s="794"/>
      <c r="C41" s="794"/>
      <c r="D41" s="796">
        <f>SUM(D11:D40)</f>
        <v>824746.87339999992</v>
      </c>
      <c r="E41" s="793">
        <f>SUM(E11:E40)</f>
        <v>1.0000000000000002</v>
      </c>
      <c r="F41" s="474">
        <f>F11+F14+F17+F20+F23+F26+F29+F32+F35+F38</f>
        <v>205993.1317</v>
      </c>
      <c r="G41" s="474">
        <f>G11+G17+G14+G20+G23+G26+G29+G32+G35+G38</f>
        <v>205993.13170000003</v>
      </c>
      <c r="H41" s="474">
        <f>H11+H17+H20+H23+H26+H29+H32+H35+H38</f>
        <v>197732.13</v>
      </c>
      <c r="I41" s="474">
        <f>I11+I17+I20+I23+I26+I29+I32+I35+I38</f>
        <v>215028.48000000001</v>
      </c>
      <c r="K41" s="476"/>
    </row>
    <row r="42" spans="1:11" ht="15" customHeight="1">
      <c r="A42" s="794" t="s">
        <v>443</v>
      </c>
      <c r="B42" s="794"/>
      <c r="C42" s="794"/>
      <c r="D42" s="796"/>
      <c r="E42" s="793"/>
      <c r="F42" s="480">
        <f>F41/$D$41</f>
        <v>0.24976527749756489</v>
      </c>
      <c r="G42" s="480">
        <f>G41/$D$41</f>
        <v>0.24976527749756491</v>
      </c>
      <c r="H42" s="480">
        <f>H41/$D$41</f>
        <v>0.23974886886791563</v>
      </c>
      <c r="I42" s="480">
        <f>I41/$D$41</f>
        <v>0.26072057613695471</v>
      </c>
    </row>
    <row r="43" spans="1:11" ht="15" customHeight="1">
      <c r="A43" s="794" t="s">
        <v>444</v>
      </c>
      <c r="B43" s="794"/>
      <c r="C43" s="794"/>
      <c r="D43" s="796"/>
      <c r="E43" s="793"/>
      <c r="F43" s="474">
        <f>F41</f>
        <v>205993.1317</v>
      </c>
      <c r="G43" s="474">
        <f>F43+G41</f>
        <v>411986.26340000005</v>
      </c>
      <c r="H43" s="474">
        <f>G43+H41</f>
        <v>609718.39340000006</v>
      </c>
      <c r="I43" s="474">
        <f>H43+I41</f>
        <v>824746.87340000004</v>
      </c>
    </row>
    <row r="44" spans="1:11" ht="15" customHeight="1">
      <c r="A44" s="794" t="s">
        <v>445</v>
      </c>
      <c r="B44" s="794"/>
      <c r="C44" s="794"/>
      <c r="D44" s="796"/>
      <c r="E44" s="793"/>
      <c r="F44" s="480">
        <f>F43/$D$41</f>
        <v>0.24976527749756489</v>
      </c>
      <c r="G44" s="480">
        <f>G43/$D$41</f>
        <v>0.49953055499512983</v>
      </c>
      <c r="H44" s="480">
        <f>H43/$D$41</f>
        <v>0.73927942386304546</v>
      </c>
      <c r="I44" s="480">
        <f>I43/$D$41</f>
        <v>1.0000000000000002</v>
      </c>
    </row>
    <row r="46" spans="1:11">
      <c r="A46" s="795" t="str">
        <f>'ANEXO VI- Planilha Orçamentária'!I103</f>
        <v xml:space="preserve"> Moreno, março de 2016</v>
      </c>
      <c r="B46" s="795"/>
      <c r="C46" s="795"/>
      <c r="D46" s="795"/>
      <c r="E46" s="795"/>
      <c r="F46" s="795"/>
      <c r="G46" s="795"/>
      <c r="H46" s="795"/>
      <c r="I46" s="795"/>
    </row>
    <row r="49" spans="1:9">
      <c r="A49" s="762" t="s">
        <v>255</v>
      </c>
      <c r="B49" s="762"/>
      <c r="C49" s="762"/>
      <c r="D49" s="762"/>
      <c r="E49" s="762"/>
      <c r="F49" s="762"/>
      <c r="G49" s="762"/>
      <c r="H49" s="762"/>
      <c r="I49" s="762"/>
    </row>
    <row r="50" spans="1:9">
      <c r="A50" s="763" t="s">
        <v>256</v>
      </c>
      <c r="B50" s="763"/>
      <c r="C50" s="763"/>
      <c r="D50" s="763"/>
      <c r="E50" s="763"/>
      <c r="F50" s="763"/>
      <c r="G50" s="763"/>
      <c r="H50" s="763"/>
      <c r="I50" s="763"/>
    </row>
    <row r="51" spans="1:9">
      <c r="A51" s="763" t="s">
        <v>446</v>
      </c>
      <c r="B51" s="763"/>
      <c r="C51" s="763"/>
      <c r="D51" s="763"/>
      <c r="E51" s="763"/>
      <c r="F51" s="763"/>
      <c r="G51" s="763"/>
      <c r="H51" s="763"/>
      <c r="I51" s="763"/>
    </row>
  </sheetData>
  <sheetProtection selectLockedCells="1" selectUnlockedCells="1"/>
  <mergeCells count="70">
    <mergeCell ref="A46:I46"/>
    <mergeCell ref="A49:I49"/>
    <mergeCell ref="A50:I50"/>
    <mergeCell ref="A51:I51"/>
    <mergeCell ref="A38:A40"/>
    <mergeCell ref="B38:C40"/>
    <mergeCell ref="D38:D40"/>
    <mergeCell ref="E38:E40"/>
    <mergeCell ref="A41:C41"/>
    <mergeCell ref="D41:D44"/>
    <mergeCell ref="E41:E44"/>
    <mergeCell ref="A42:C42"/>
    <mergeCell ref="A43:C43"/>
    <mergeCell ref="A44:C44"/>
    <mergeCell ref="A32:A34"/>
    <mergeCell ref="B32:C34"/>
    <mergeCell ref="D32:D34"/>
    <mergeCell ref="E32:E34"/>
    <mergeCell ref="A35:A37"/>
    <mergeCell ref="B35:C37"/>
    <mergeCell ref="D35:D37"/>
    <mergeCell ref="E35:E37"/>
    <mergeCell ref="A26:A28"/>
    <mergeCell ref="B26:C28"/>
    <mergeCell ref="D26:D28"/>
    <mergeCell ref="E26:E28"/>
    <mergeCell ref="A29:A31"/>
    <mergeCell ref="B29:C31"/>
    <mergeCell ref="D29:D31"/>
    <mergeCell ref="E29:E31"/>
    <mergeCell ref="A23:A25"/>
    <mergeCell ref="B23:C25"/>
    <mergeCell ref="D23:D25"/>
    <mergeCell ref="E23:E25"/>
    <mergeCell ref="H23:H25"/>
    <mergeCell ref="I23:I25"/>
    <mergeCell ref="A20:A22"/>
    <mergeCell ref="B20:C22"/>
    <mergeCell ref="D20:D22"/>
    <mergeCell ref="E20:E22"/>
    <mergeCell ref="H20:H22"/>
    <mergeCell ref="I20:I22"/>
    <mergeCell ref="A17:A19"/>
    <mergeCell ref="B17:C19"/>
    <mergeCell ref="D17:D19"/>
    <mergeCell ref="E17:E19"/>
    <mergeCell ref="H17:H19"/>
    <mergeCell ref="I17:I19"/>
    <mergeCell ref="A14:A16"/>
    <mergeCell ref="B14:C16"/>
    <mergeCell ref="D14:D16"/>
    <mergeCell ref="E14:E16"/>
    <mergeCell ref="H14:H16"/>
    <mergeCell ref="I14:I16"/>
    <mergeCell ref="H9:H10"/>
    <mergeCell ref="I9:I10"/>
    <mergeCell ref="A11:A13"/>
    <mergeCell ref="B11:C13"/>
    <mergeCell ref="D11:D13"/>
    <mergeCell ref="E11:E13"/>
    <mergeCell ref="A2:H2"/>
    <mergeCell ref="B3:C3"/>
    <mergeCell ref="B4:C4"/>
    <mergeCell ref="A7:I7"/>
    <mergeCell ref="A9:A10"/>
    <mergeCell ref="B9:C10"/>
    <mergeCell ref="D9:D10"/>
    <mergeCell ref="E9:E10"/>
    <mergeCell ref="F9:F10"/>
    <mergeCell ref="G9:G10"/>
  </mergeCells>
  <printOptions horizontalCentered="1"/>
  <pageMargins left="0.2361111111111111" right="0.2361111111111111" top="0.74791666666666667" bottom="0.74861111111111112" header="0.51180555555555551" footer="0.31527777777777777"/>
  <pageSetup paperSize="9" scale="74" firstPageNumber="0" orientation="landscape" horizontalDpi="300" verticalDpi="300" r:id="rId1"/>
  <headerFooter alignWithMargins="0">
    <oddFooter>&amp;L&amp;A&amp;RAntônio Nunes da Silva Filho
Eng. Civil - CREA 16.122 - D/PE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view="pageBreakPreview" topLeftCell="A46" zoomScale="110" zoomScaleSheetLayoutView="110" workbookViewId="0">
      <selection activeCell="L66" sqref="L66"/>
    </sheetView>
  </sheetViews>
  <sheetFormatPr defaultRowHeight="18"/>
  <cols>
    <col min="1" max="1" width="37.140625" style="481" customWidth="1"/>
    <col min="2" max="2" width="2.5703125" style="481" customWidth="1"/>
    <col min="3" max="3" width="12.7109375" style="481" customWidth="1"/>
    <col min="4" max="4" width="13.140625" style="481" customWidth="1"/>
    <col min="5" max="5" width="12.42578125" style="481" customWidth="1"/>
    <col min="6" max="6" width="11.140625" style="481" customWidth="1"/>
    <col min="7" max="7" width="1.5703125" style="481" customWidth="1"/>
    <col min="8" max="8" width="0.28515625" style="481" customWidth="1"/>
    <col min="9" max="9" width="11.7109375" style="481" customWidth="1"/>
    <col min="10" max="10" width="5.28515625" style="481" customWidth="1"/>
    <col min="11" max="11" width="4.42578125" style="481" customWidth="1"/>
    <col min="12" max="12" width="15.7109375" style="481" customWidth="1"/>
    <col min="13" max="13" width="13" style="481" customWidth="1"/>
    <col min="14" max="14" width="16.85546875" style="481" customWidth="1"/>
    <col min="15" max="16384" width="9.140625" style="481"/>
  </cols>
  <sheetData>
    <row r="1" spans="1:17" ht="27" customHeight="1">
      <c r="A1" s="802" t="s">
        <v>773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482"/>
      <c r="N1" s="483"/>
      <c r="O1" s="483"/>
      <c r="P1" s="483"/>
      <c r="Q1" s="483"/>
    </row>
    <row r="2" spans="1:17" ht="27" customHeight="1">
      <c r="A2" s="803" t="s">
        <v>781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484"/>
      <c r="N2" s="483"/>
      <c r="O2" s="483"/>
      <c r="P2" s="483"/>
      <c r="Q2" s="483"/>
    </row>
    <row r="3" spans="1:17" ht="27" customHeight="1">
      <c r="A3" s="804" t="s">
        <v>447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485"/>
      <c r="N3" s="483"/>
      <c r="O3" s="483"/>
      <c r="P3" s="483"/>
      <c r="Q3" s="483"/>
    </row>
    <row r="4" spans="1:17" ht="27" customHeight="1">
      <c r="A4" s="486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5"/>
      <c r="N4" s="483"/>
      <c r="O4" s="483"/>
      <c r="P4" s="483"/>
      <c r="Q4" s="483"/>
    </row>
    <row r="5" spans="1:17" ht="27" customHeight="1">
      <c r="A5" s="798" t="s">
        <v>785</v>
      </c>
      <c r="B5" s="798"/>
      <c r="C5" s="798"/>
      <c r="D5" s="798"/>
      <c r="E5" s="798"/>
      <c r="F5" s="798"/>
      <c r="G5" s="798"/>
      <c r="H5" s="798"/>
      <c r="I5" s="798"/>
      <c r="J5" s="798"/>
      <c r="K5" s="486"/>
      <c r="L5" s="486"/>
      <c r="M5" s="485"/>
      <c r="N5" s="483"/>
      <c r="O5" s="483"/>
      <c r="P5" s="483"/>
      <c r="Q5" s="483"/>
    </row>
    <row r="6" spans="1:17">
      <c r="A6" s="485"/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3"/>
      <c r="O6" s="483"/>
      <c r="P6" s="483"/>
      <c r="Q6" s="483"/>
    </row>
    <row r="7" spans="1:17" ht="23.25" customHeight="1">
      <c r="A7" s="801" t="s">
        <v>448</v>
      </c>
      <c r="B7" s="487"/>
      <c r="C7" s="805" t="s">
        <v>449</v>
      </c>
      <c r="D7" s="805"/>
      <c r="E7" s="488" t="s">
        <v>450</v>
      </c>
      <c r="F7" s="488" t="s">
        <v>451</v>
      </c>
      <c r="G7" s="489"/>
      <c r="H7" s="490"/>
      <c r="I7" s="801" t="s">
        <v>452</v>
      </c>
      <c r="J7" s="491"/>
      <c r="K7" s="806"/>
      <c r="L7" s="493"/>
      <c r="M7" s="483"/>
      <c r="N7" s="483"/>
      <c r="O7" s="483"/>
      <c r="P7" s="483"/>
      <c r="Q7" s="483"/>
    </row>
    <row r="8" spans="1:17" ht="24.75" customHeight="1">
      <c r="A8" s="801"/>
      <c r="B8" s="487"/>
      <c r="C8" s="797" t="s">
        <v>453</v>
      </c>
      <c r="D8" s="797"/>
      <c r="E8" s="797"/>
      <c r="F8" s="797"/>
      <c r="G8" s="494"/>
      <c r="H8" s="493"/>
      <c r="I8" s="801"/>
      <c r="J8" s="483"/>
      <c r="K8" s="806"/>
      <c r="L8" s="483"/>
      <c r="M8" s="483"/>
      <c r="N8" s="483"/>
      <c r="O8" s="483"/>
      <c r="P8" s="483"/>
      <c r="Q8" s="483"/>
    </row>
    <row r="9" spans="1:17" ht="8.25" customHeight="1">
      <c r="A9" s="495"/>
      <c r="B9" s="494"/>
      <c r="C9" s="492"/>
      <c r="D9" s="492"/>
      <c r="E9" s="492"/>
      <c r="F9" s="492"/>
      <c r="G9" s="494"/>
      <c r="H9" s="493"/>
      <c r="I9" s="483"/>
      <c r="J9" s="493"/>
      <c r="K9" s="483"/>
      <c r="L9" s="483"/>
      <c r="M9" s="483"/>
      <c r="N9" s="483"/>
      <c r="O9" s="483"/>
      <c r="P9" s="483"/>
      <c r="Q9" s="483"/>
    </row>
    <row r="10" spans="1:17">
      <c r="A10" s="496" t="s">
        <v>454</v>
      </c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83"/>
      <c r="Q10" s="483"/>
    </row>
    <row r="11" spans="1:17" ht="12" customHeight="1">
      <c r="A11" s="496"/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83"/>
      <c r="Q11" s="483"/>
    </row>
    <row r="12" spans="1:17">
      <c r="A12" s="800" t="s">
        <v>455</v>
      </c>
      <c r="B12" s="800"/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496"/>
      <c r="N12" s="496"/>
      <c r="O12" s="496"/>
      <c r="P12" s="483"/>
      <c r="Q12" s="483"/>
    </row>
    <row r="13" spans="1:17">
      <c r="A13" s="800" t="s">
        <v>456</v>
      </c>
      <c r="B13" s="800"/>
      <c r="C13" s="800"/>
      <c r="D13" s="800"/>
      <c r="E13" s="800"/>
      <c r="F13" s="800"/>
      <c r="G13" s="800"/>
      <c r="H13" s="800"/>
      <c r="I13" s="800"/>
      <c r="J13" s="800"/>
      <c r="K13" s="800"/>
      <c r="L13" s="800"/>
      <c r="M13" s="496"/>
      <c r="N13" s="496"/>
      <c r="O13" s="496"/>
      <c r="P13" s="483"/>
      <c r="Q13" s="483"/>
    </row>
    <row r="14" spans="1:17">
      <c r="A14" s="800" t="s">
        <v>457</v>
      </c>
      <c r="B14" s="800"/>
      <c r="C14" s="800"/>
      <c r="D14" s="800"/>
      <c r="E14" s="800"/>
      <c r="F14" s="800"/>
      <c r="G14" s="800"/>
      <c r="H14" s="800"/>
      <c r="I14" s="800"/>
      <c r="J14" s="800"/>
      <c r="K14" s="800"/>
      <c r="L14" s="800"/>
      <c r="M14" s="496"/>
      <c r="N14" s="496"/>
      <c r="O14" s="496"/>
      <c r="P14" s="483"/>
      <c r="Q14" s="483"/>
    </row>
    <row r="15" spans="1:17">
      <c r="A15" s="800" t="s">
        <v>458</v>
      </c>
      <c r="B15" s="800"/>
      <c r="C15" s="800"/>
      <c r="D15" s="800"/>
      <c r="E15" s="800"/>
      <c r="F15" s="800"/>
      <c r="G15" s="800"/>
      <c r="H15" s="800"/>
      <c r="I15" s="800"/>
      <c r="J15" s="800"/>
      <c r="K15" s="800"/>
      <c r="L15" s="800"/>
      <c r="M15" s="490"/>
      <c r="N15" s="490"/>
      <c r="O15" s="490"/>
      <c r="P15" s="483"/>
      <c r="Q15" s="483"/>
    </row>
    <row r="16" spans="1:17">
      <c r="A16" s="800" t="s">
        <v>459</v>
      </c>
      <c r="B16" s="800"/>
      <c r="C16" s="800"/>
      <c r="D16" s="800"/>
      <c r="E16" s="800"/>
      <c r="F16" s="800"/>
      <c r="G16" s="800"/>
      <c r="H16" s="800"/>
      <c r="I16" s="800"/>
      <c r="J16" s="800"/>
      <c r="K16" s="800"/>
      <c r="L16" s="800"/>
      <c r="M16" s="490"/>
      <c r="N16" s="490"/>
      <c r="O16" s="490"/>
      <c r="P16" s="483"/>
      <c r="Q16" s="483"/>
    </row>
    <row r="17" spans="1:17">
      <c r="A17" s="800" t="s">
        <v>460</v>
      </c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490"/>
      <c r="N17" s="490"/>
      <c r="O17" s="490"/>
      <c r="P17" s="483"/>
      <c r="Q17" s="483"/>
    </row>
    <row r="18" spans="1:17">
      <c r="A18" s="496" t="s">
        <v>461</v>
      </c>
      <c r="B18" s="496"/>
      <c r="C18" s="496"/>
      <c r="D18" s="496"/>
      <c r="E18" s="496"/>
      <c r="F18" s="496"/>
      <c r="G18" s="496"/>
      <c r="H18" s="496"/>
      <c r="I18" s="496"/>
      <c r="J18" s="490"/>
      <c r="K18" s="490"/>
      <c r="L18" s="490"/>
      <c r="M18" s="490"/>
      <c r="N18" s="490"/>
      <c r="O18" s="490"/>
      <c r="P18" s="483"/>
      <c r="Q18" s="483"/>
    </row>
    <row r="19" spans="1:17" ht="15" customHeight="1">
      <c r="A19" s="496"/>
      <c r="B19" s="496"/>
      <c r="C19" s="496"/>
      <c r="D19" s="496"/>
      <c r="E19" s="496"/>
      <c r="F19" s="496"/>
      <c r="G19" s="496"/>
      <c r="H19" s="496"/>
      <c r="I19" s="496"/>
      <c r="J19" s="493"/>
      <c r="K19" s="483"/>
      <c r="L19" s="483"/>
      <c r="M19" s="483"/>
      <c r="N19" s="483"/>
      <c r="O19" s="483"/>
      <c r="P19" s="483"/>
      <c r="Q19" s="483"/>
    </row>
    <row r="20" spans="1:17">
      <c r="A20" s="799" t="s">
        <v>462</v>
      </c>
      <c r="B20" s="799"/>
      <c r="C20" s="799"/>
      <c r="D20" s="799"/>
      <c r="E20" s="799"/>
      <c r="F20" s="799"/>
      <c r="G20" s="799"/>
      <c r="H20" s="799"/>
      <c r="I20" s="799"/>
      <c r="J20" s="799"/>
      <c r="K20" s="799"/>
      <c r="L20" s="799"/>
      <c r="M20" s="483"/>
      <c r="N20" s="483"/>
      <c r="O20" s="483"/>
      <c r="P20" s="483"/>
      <c r="Q20" s="483"/>
    </row>
    <row r="21" spans="1:17" ht="9" customHeight="1">
      <c r="A21" s="483"/>
      <c r="B21" s="483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</row>
    <row r="22" spans="1:17">
      <c r="A22" s="800" t="s">
        <v>463</v>
      </c>
      <c r="B22" s="800"/>
      <c r="C22" s="800"/>
      <c r="D22" s="483"/>
      <c r="E22" s="497"/>
      <c r="F22" s="497"/>
      <c r="G22" s="483"/>
      <c r="H22" s="498"/>
      <c r="I22" s="499"/>
      <c r="J22" s="483"/>
      <c r="K22" s="483"/>
      <c r="L22" s="483"/>
      <c r="M22" s="483"/>
      <c r="N22" s="483"/>
      <c r="O22" s="483"/>
      <c r="P22" s="483" t="s">
        <v>415</v>
      </c>
      <c r="Q22" s="483"/>
    </row>
    <row r="23" spans="1:17">
      <c r="A23" s="497" t="s">
        <v>464</v>
      </c>
      <c r="B23" s="483" t="s">
        <v>465</v>
      </c>
      <c r="C23" s="500">
        <v>6.4999999999999997E-3</v>
      </c>
      <c r="D23" s="483"/>
      <c r="E23" s="497"/>
      <c r="F23" s="497"/>
      <c r="G23" s="483"/>
      <c r="H23" s="498"/>
      <c r="I23" s="499"/>
      <c r="J23" s="483"/>
      <c r="K23" s="483"/>
      <c r="L23" s="483"/>
      <c r="M23" s="483"/>
      <c r="N23" s="501"/>
      <c r="O23" s="483"/>
      <c r="P23" s="496"/>
      <c r="Q23" s="483"/>
    </row>
    <row r="24" spans="1:17">
      <c r="A24" s="497" t="s">
        <v>466</v>
      </c>
      <c r="B24" s="483" t="s">
        <v>465</v>
      </c>
      <c r="C24" s="500">
        <v>0.05</v>
      </c>
      <c r="D24" s="483"/>
      <c r="E24" s="497"/>
      <c r="F24" s="497"/>
      <c r="G24" s="483"/>
      <c r="H24" s="498"/>
      <c r="I24" s="499"/>
      <c r="J24" s="483"/>
      <c r="K24" s="483"/>
      <c r="L24" s="483"/>
      <c r="M24" s="483"/>
      <c r="N24" s="501"/>
      <c r="O24" s="483"/>
      <c r="P24" s="483"/>
      <c r="Q24" s="483"/>
    </row>
    <row r="25" spans="1:17">
      <c r="A25" s="497" t="s">
        <v>467</v>
      </c>
      <c r="B25" s="483" t="s">
        <v>465</v>
      </c>
      <c r="C25" s="500">
        <v>2.92E-2</v>
      </c>
      <c r="D25" s="483"/>
      <c r="E25" s="497"/>
      <c r="F25" s="497"/>
      <c r="G25" s="483"/>
      <c r="H25" s="498"/>
      <c r="I25" s="499"/>
      <c r="J25" s="483"/>
      <c r="K25" s="483"/>
      <c r="L25" s="483"/>
      <c r="M25" s="483"/>
      <c r="N25" s="501"/>
      <c r="O25" s="483"/>
      <c r="P25" s="483"/>
      <c r="Q25" s="483"/>
    </row>
    <row r="26" spans="1:17">
      <c r="A26" s="497" t="s">
        <v>468</v>
      </c>
      <c r="B26" s="483" t="s">
        <v>465</v>
      </c>
      <c r="C26" s="500">
        <v>2.1999999999999999E-2</v>
      </c>
      <c r="D26" s="483"/>
      <c r="E26" s="497"/>
      <c r="F26" s="497"/>
      <c r="G26" s="483"/>
      <c r="H26" s="498"/>
      <c r="I26" s="499"/>
      <c r="J26" s="483"/>
      <c r="K26" s="483"/>
      <c r="L26" s="483"/>
      <c r="M26" s="483"/>
      <c r="N26" s="501"/>
      <c r="O26" s="483"/>
      <c r="P26" s="483"/>
      <c r="Q26" s="483"/>
    </row>
    <row r="27" spans="1:17">
      <c r="A27" s="497" t="s">
        <v>469</v>
      </c>
      <c r="B27" s="483" t="s">
        <v>465</v>
      </c>
      <c r="C27" s="500">
        <f>SUM(C23:C26)</f>
        <v>0.10769999999999999</v>
      </c>
      <c r="D27" s="483"/>
      <c r="E27" s="497"/>
      <c r="F27" s="497"/>
      <c r="G27" s="483"/>
      <c r="H27" s="498"/>
      <c r="I27" s="499"/>
      <c r="J27" s="483"/>
      <c r="K27" s="483"/>
      <c r="L27" s="483"/>
      <c r="M27" s="483"/>
      <c r="N27" s="501"/>
      <c r="O27" s="483"/>
      <c r="P27" s="483"/>
      <c r="Q27" s="483"/>
    </row>
    <row r="28" spans="1:17" ht="18" customHeight="1"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502"/>
      <c r="O28" s="483"/>
      <c r="P28" s="483"/>
      <c r="Q28" s="483"/>
    </row>
    <row r="29" spans="1:17" ht="18.75" customHeight="1">
      <c r="A29" s="497" t="s">
        <v>470</v>
      </c>
      <c r="B29" s="483" t="s">
        <v>465</v>
      </c>
      <c r="C29" s="499">
        <v>2.9499999999999998E-2</v>
      </c>
      <c r="D29" s="499"/>
      <c r="E29" s="483"/>
      <c r="F29" s="483"/>
      <c r="G29" s="483"/>
      <c r="H29" s="483"/>
      <c r="I29" s="483"/>
      <c r="J29" s="483"/>
      <c r="K29" s="483"/>
      <c r="L29" s="483"/>
      <c r="M29" s="483"/>
      <c r="N29" s="502"/>
      <c r="O29" s="483"/>
      <c r="P29" s="483"/>
      <c r="Q29" s="483"/>
    </row>
    <row r="30" spans="1:17" ht="18" customHeight="1">
      <c r="A30" s="497" t="s">
        <v>471</v>
      </c>
      <c r="B30" s="483" t="s">
        <v>465</v>
      </c>
      <c r="C30" s="499">
        <v>4.0000000000000001E-3</v>
      </c>
      <c r="D30" s="499"/>
      <c r="E30" s="483"/>
      <c r="F30" s="483"/>
      <c r="G30" s="483"/>
      <c r="H30" s="483"/>
      <c r="I30" s="483"/>
      <c r="J30" s="483"/>
      <c r="K30" s="483"/>
      <c r="L30" s="483"/>
      <c r="M30" s="483"/>
      <c r="N30" s="502"/>
      <c r="O30" s="483"/>
      <c r="P30" s="483"/>
      <c r="Q30" s="483"/>
    </row>
    <row r="31" spans="1:17" ht="18" customHeight="1">
      <c r="A31" s="497" t="s">
        <v>472</v>
      </c>
      <c r="B31" s="483" t="s">
        <v>465</v>
      </c>
      <c r="C31" s="499">
        <v>5.0000000000000001E-3</v>
      </c>
      <c r="D31" s="499"/>
      <c r="E31" s="483"/>
      <c r="F31" s="483"/>
      <c r="G31" s="483"/>
      <c r="H31" s="483"/>
      <c r="I31" s="483"/>
      <c r="J31" s="483"/>
      <c r="K31" s="483"/>
      <c r="L31" s="483"/>
      <c r="M31" s="483"/>
      <c r="N31" s="502"/>
      <c r="O31" s="483"/>
      <c r="P31" s="483"/>
      <c r="Q31" s="483"/>
    </row>
    <row r="32" spans="1:17" ht="18" customHeight="1">
      <c r="A32" s="497" t="s">
        <v>473</v>
      </c>
      <c r="B32" s="483" t="s">
        <v>465</v>
      </c>
      <c r="C32" s="499">
        <v>3.5000000000000001E-3</v>
      </c>
      <c r="D32" s="499"/>
      <c r="E32" s="483"/>
      <c r="F32" s="483"/>
      <c r="G32" s="483"/>
      <c r="H32" s="483"/>
      <c r="I32" s="483"/>
      <c r="J32" s="483"/>
      <c r="K32" s="483"/>
      <c r="L32" s="483"/>
      <c r="M32" s="483"/>
      <c r="N32" s="502"/>
      <c r="O32" s="483"/>
      <c r="P32" s="483"/>
      <c r="Q32" s="483"/>
    </row>
    <row r="33" spans="1:17" ht="18" customHeight="1">
      <c r="A33" s="497" t="s">
        <v>474</v>
      </c>
      <c r="B33" s="483" t="s">
        <v>465</v>
      </c>
      <c r="C33" s="499">
        <v>7.3000000000000001E-3</v>
      </c>
      <c r="D33" s="499"/>
      <c r="E33" s="483"/>
      <c r="F33" s="483"/>
      <c r="G33" s="483"/>
      <c r="H33" s="483"/>
      <c r="I33" s="483"/>
      <c r="J33" s="483"/>
      <c r="K33" s="483"/>
      <c r="L33" s="483"/>
      <c r="M33" s="483"/>
      <c r="N33" s="502"/>
      <c r="O33" s="483"/>
      <c r="P33" s="483"/>
      <c r="Q33" s="483"/>
    </row>
    <row r="34" spans="1:17" ht="18" customHeight="1">
      <c r="A34" s="497" t="s">
        <v>475</v>
      </c>
      <c r="B34" s="483" t="s">
        <v>465</v>
      </c>
      <c r="C34" s="499">
        <v>2.5999999999999999E-2</v>
      </c>
      <c r="D34" s="499"/>
      <c r="E34" s="483"/>
      <c r="F34" s="483"/>
      <c r="G34" s="483"/>
      <c r="H34" s="483"/>
      <c r="I34" s="483"/>
      <c r="J34" s="483"/>
      <c r="K34" s="483"/>
      <c r="L34" s="483"/>
      <c r="M34" s="483"/>
      <c r="N34" s="502"/>
      <c r="O34" s="483"/>
      <c r="P34" s="483"/>
      <c r="Q34" s="483"/>
    </row>
    <row r="35" spans="1:17" ht="18" customHeight="1">
      <c r="A35" s="497" t="s">
        <v>476</v>
      </c>
      <c r="B35" s="483" t="s">
        <v>465</v>
      </c>
      <c r="C35" s="499">
        <v>0.11</v>
      </c>
      <c r="D35" s="499"/>
      <c r="E35" s="483"/>
      <c r="F35" s="483"/>
      <c r="G35" s="483"/>
      <c r="H35" s="483"/>
      <c r="I35" s="483"/>
      <c r="J35" s="483"/>
      <c r="K35" s="483"/>
      <c r="L35" s="483"/>
      <c r="M35" s="483"/>
      <c r="N35" s="502"/>
      <c r="O35" s="483"/>
      <c r="P35" s="483"/>
      <c r="Q35" s="483"/>
    </row>
    <row r="36" spans="1:17" ht="18" customHeight="1">
      <c r="A36" s="497"/>
      <c r="B36" s="483"/>
      <c r="C36" s="503"/>
      <c r="D36" s="499"/>
      <c r="E36" s="483"/>
      <c r="F36" s="483"/>
      <c r="G36" s="483"/>
      <c r="H36" s="483"/>
      <c r="I36" s="483"/>
      <c r="J36" s="483"/>
      <c r="K36" s="483"/>
      <c r="L36" s="483"/>
      <c r="M36" s="483"/>
      <c r="N36" s="502"/>
      <c r="O36" s="483"/>
      <c r="P36" s="483"/>
      <c r="Q36" s="483"/>
    </row>
    <row r="37" spans="1:17" ht="18" customHeight="1">
      <c r="A37" s="801" t="s">
        <v>448</v>
      </c>
      <c r="B37" s="487"/>
      <c r="C37" s="805" t="s">
        <v>449</v>
      </c>
      <c r="D37" s="805"/>
      <c r="E37" s="488" t="s">
        <v>450</v>
      </c>
      <c r="F37" s="488" t="s">
        <v>451</v>
      </c>
      <c r="G37" s="489"/>
      <c r="H37" s="490"/>
      <c r="I37" s="801" t="s">
        <v>452</v>
      </c>
      <c r="J37" s="483"/>
      <c r="K37" s="483"/>
      <c r="L37" s="483"/>
      <c r="M37" s="483"/>
      <c r="N37" s="483"/>
      <c r="O37" s="483"/>
      <c r="P37" s="483"/>
      <c r="Q37" s="483"/>
    </row>
    <row r="38" spans="1:17" ht="18" customHeight="1">
      <c r="A38" s="801"/>
      <c r="B38" s="487"/>
      <c r="C38" s="797" t="s">
        <v>453</v>
      </c>
      <c r="D38" s="797"/>
      <c r="E38" s="797"/>
      <c r="F38" s="797"/>
      <c r="G38" s="494"/>
      <c r="H38" s="493"/>
      <c r="I38" s="801"/>
      <c r="J38" s="483"/>
      <c r="K38" s="483"/>
      <c r="L38" s="483"/>
      <c r="M38" s="483"/>
      <c r="N38" s="483"/>
      <c r="O38" s="483"/>
      <c r="P38" s="483"/>
      <c r="Q38" s="483"/>
    </row>
    <row r="39" spans="1:17" ht="18.75" customHeight="1">
      <c r="B39" s="487"/>
      <c r="C39" s="492"/>
      <c r="D39" s="492"/>
      <c r="E39" s="492"/>
      <c r="F39" s="492"/>
      <c r="G39" s="494"/>
      <c r="H39" s="493"/>
      <c r="J39" s="483"/>
      <c r="K39" s="483"/>
      <c r="L39" s="483"/>
      <c r="M39" s="483"/>
      <c r="N39" s="483"/>
      <c r="O39" s="483"/>
      <c r="P39" s="483"/>
      <c r="Q39" s="483"/>
    </row>
    <row r="40" spans="1:17" ht="18" customHeight="1">
      <c r="A40" s="806" t="s">
        <v>477</v>
      </c>
      <c r="B40" s="806"/>
      <c r="C40" s="806"/>
      <c r="D40" s="501">
        <f>1+C29+C30+C31+C32</f>
        <v>1.042</v>
      </c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</row>
    <row r="41" spans="1:17" ht="18" customHeight="1">
      <c r="A41" s="806" t="s">
        <v>478</v>
      </c>
      <c r="B41" s="806"/>
      <c r="C41" s="806"/>
      <c r="D41" s="501">
        <f>1+C33</f>
        <v>1.0073000000000001</v>
      </c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</row>
    <row r="42" spans="1:17" ht="19.5" customHeight="1">
      <c r="A42" s="806" t="s">
        <v>479</v>
      </c>
      <c r="B42" s="806"/>
      <c r="C42" s="806"/>
      <c r="D42" s="501">
        <f>1+C34</f>
        <v>1.026</v>
      </c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</row>
    <row r="43" spans="1:17" ht="18" customHeight="1">
      <c r="A43" s="806" t="s">
        <v>480</v>
      </c>
      <c r="B43" s="806"/>
      <c r="C43" s="806"/>
      <c r="D43" s="501">
        <f>1-C35</f>
        <v>0.89</v>
      </c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</row>
    <row r="44" spans="1:17">
      <c r="A44" s="504"/>
      <c r="B44" s="504"/>
      <c r="C44" s="504"/>
      <c r="D44" s="501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</row>
    <row r="45" spans="1:17" ht="18.75" customHeight="1">
      <c r="B45" s="811" t="s">
        <v>481</v>
      </c>
      <c r="C45" s="811"/>
      <c r="D45" s="811"/>
      <c r="E45" s="811"/>
      <c r="F45" s="505">
        <f>((D40*D41*D42/D43)-1)*100</f>
        <v>20.999592314606751</v>
      </c>
      <c r="G45" s="506" t="s">
        <v>252</v>
      </c>
      <c r="H45" s="507"/>
      <c r="I45" s="508"/>
      <c r="J45" s="483"/>
      <c r="K45" s="483"/>
      <c r="L45" s="483"/>
      <c r="M45" s="483"/>
      <c r="N45" s="483"/>
      <c r="O45" s="483"/>
      <c r="P45" s="483"/>
      <c r="Q45" s="483"/>
    </row>
    <row r="46" spans="1:17">
      <c r="B46" s="483"/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</row>
    <row r="47" spans="1:17">
      <c r="A47" s="509" t="s">
        <v>774</v>
      </c>
      <c r="B47" s="509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483"/>
      <c r="N47" s="483"/>
      <c r="O47" s="483"/>
    </row>
    <row r="48" spans="1:17">
      <c r="A48" s="483" t="s">
        <v>782</v>
      </c>
      <c r="B48" s="509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483"/>
      <c r="N48" s="483"/>
      <c r="O48" s="483"/>
    </row>
    <row r="49" spans="1:15">
      <c r="A49" s="483" t="s">
        <v>783</v>
      </c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483"/>
      <c r="N49" s="483"/>
      <c r="O49" s="483"/>
    </row>
    <row r="50" spans="1:15">
      <c r="A50" s="483" t="s">
        <v>784</v>
      </c>
      <c r="B50" s="509"/>
      <c r="C50" s="509"/>
      <c r="D50" s="509"/>
      <c r="E50" s="509"/>
      <c r="F50" s="509"/>
      <c r="G50" s="509"/>
      <c r="H50" s="509"/>
      <c r="I50" s="509"/>
      <c r="J50" s="509"/>
      <c r="K50" s="509"/>
      <c r="L50" s="509"/>
      <c r="M50" s="483"/>
      <c r="N50" s="483"/>
      <c r="O50" s="483"/>
    </row>
    <row r="51" spans="1:15">
      <c r="A51" s="483"/>
      <c r="B51" s="509"/>
      <c r="C51" s="509"/>
      <c r="D51" s="509"/>
      <c r="E51" s="509"/>
      <c r="F51" s="509"/>
      <c r="G51" s="509"/>
      <c r="H51" s="509"/>
      <c r="I51" s="509"/>
      <c r="J51" s="509"/>
      <c r="K51" s="509"/>
      <c r="L51" s="509"/>
      <c r="M51" s="483"/>
      <c r="N51" s="483"/>
      <c r="O51" s="483"/>
    </row>
    <row r="52" spans="1:15">
      <c r="A52" s="509" t="s">
        <v>775</v>
      </c>
      <c r="B52" s="509"/>
      <c r="C52" s="509"/>
      <c r="D52" s="509"/>
      <c r="E52" s="509"/>
      <c r="F52" s="509"/>
      <c r="G52" s="509"/>
      <c r="H52" s="509"/>
      <c r="I52" s="509"/>
      <c r="J52" s="510"/>
      <c r="K52" s="510"/>
      <c r="L52" s="510"/>
      <c r="M52" s="483"/>
      <c r="N52" s="483"/>
      <c r="O52" s="483"/>
    </row>
    <row r="53" spans="1:15">
      <c r="A53" s="483" t="s">
        <v>776</v>
      </c>
      <c r="B53" s="509"/>
      <c r="C53" s="509"/>
      <c r="D53" s="509"/>
      <c r="E53" s="509"/>
      <c r="F53" s="509"/>
      <c r="G53" s="509"/>
      <c r="H53" s="509"/>
      <c r="I53" s="509"/>
      <c r="J53" s="509"/>
      <c r="K53" s="509"/>
      <c r="L53" s="509"/>
      <c r="M53" s="483"/>
      <c r="N53" s="483"/>
      <c r="O53" s="483"/>
    </row>
    <row r="54" spans="1:15">
      <c r="A54" s="483" t="s">
        <v>777</v>
      </c>
      <c r="B54" s="510"/>
      <c r="C54" s="510"/>
      <c r="D54" s="510"/>
      <c r="E54" s="510"/>
      <c r="F54" s="510"/>
      <c r="G54" s="510"/>
      <c r="H54" s="510"/>
      <c r="I54" s="510"/>
      <c r="J54" s="483"/>
      <c r="K54" s="483"/>
      <c r="L54" s="483"/>
      <c r="M54" s="483"/>
      <c r="N54" s="483"/>
      <c r="O54" s="483"/>
    </row>
    <row r="55" spans="1:15">
      <c r="A55" s="481" t="s">
        <v>778</v>
      </c>
      <c r="B55" s="509"/>
      <c r="C55" s="509"/>
      <c r="D55" s="509"/>
      <c r="E55" s="509"/>
      <c r="F55" s="509"/>
      <c r="G55" s="509"/>
      <c r="H55" s="509"/>
      <c r="I55" s="509"/>
      <c r="J55" s="483"/>
      <c r="K55" s="483"/>
      <c r="L55" s="483"/>
      <c r="M55" s="483"/>
      <c r="N55" s="483"/>
      <c r="O55" s="483"/>
    </row>
    <row r="56" spans="1:15">
      <c r="A56" s="483" t="s">
        <v>483</v>
      </c>
      <c r="B56" s="483"/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</row>
    <row r="57" spans="1:15">
      <c r="A57" s="483" t="s">
        <v>484</v>
      </c>
    </row>
    <row r="58" spans="1:15">
      <c r="A58" s="481" t="s">
        <v>485</v>
      </c>
    </row>
    <row r="59" spans="1:15" ht="18" customHeight="1">
      <c r="A59" s="483" t="s">
        <v>482</v>
      </c>
      <c r="B59" s="483"/>
      <c r="C59" s="483"/>
      <c r="D59" s="483"/>
      <c r="E59" s="483"/>
    </row>
    <row r="61" spans="1:15">
      <c r="D61" s="810" t="s">
        <v>787</v>
      </c>
      <c r="E61" s="810"/>
      <c r="F61" s="810"/>
      <c r="G61" s="810"/>
      <c r="H61" s="810"/>
      <c r="I61" s="810"/>
      <c r="J61" s="810"/>
    </row>
    <row r="63" spans="1:15">
      <c r="A63" s="812"/>
      <c r="B63" s="812"/>
      <c r="C63" s="812"/>
      <c r="D63" s="812"/>
      <c r="E63" s="812"/>
      <c r="F63" s="812"/>
      <c r="G63" s="812"/>
      <c r="H63" s="812"/>
      <c r="I63" s="812"/>
      <c r="J63" s="812"/>
      <c r="K63" s="812"/>
      <c r="L63" s="812"/>
    </row>
    <row r="64" spans="1:15">
      <c r="A64" s="761"/>
      <c r="B64" s="761"/>
      <c r="C64" s="761"/>
      <c r="D64" s="761"/>
      <c r="E64" s="813"/>
      <c r="F64" s="813"/>
      <c r="G64" s="813"/>
      <c r="H64" s="813"/>
      <c r="I64" s="813"/>
      <c r="J64" s="813"/>
      <c r="K64" s="813"/>
      <c r="L64" s="761"/>
    </row>
    <row r="65" spans="1:12">
      <c r="A65" s="761"/>
      <c r="B65" s="761"/>
      <c r="C65" s="761"/>
      <c r="D65" s="761"/>
      <c r="E65" s="807" t="s">
        <v>780</v>
      </c>
      <c r="F65" s="807"/>
      <c r="G65" s="807"/>
      <c r="H65" s="807"/>
      <c r="I65" s="807"/>
      <c r="J65" s="807"/>
      <c r="K65" s="807"/>
      <c r="L65" s="761"/>
    </row>
    <row r="66" spans="1:12">
      <c r="A66" s="761"/>
      <c r="B66" s="761"/>
      <c r="C66" s="761"/>
      <c r="D66" s="761"/>
      <c r="E66" s="808" t="s">
        <v>779</v>
      </c>
      <c r="F66" s="808"/>
      <c r="G66" s="808"/>
      <c r="H66" s="808"/>
      <c r="I66" s="808"/>
      <c r="J66" s="808"/>
      <c r="K66" s="808"/>
      <c r="L66" s="761"/>
    </row>
    <row r="67" spans="1:12">
      <c r="E67" s="809" t="s">
        <v>786</v>
      </c>
      <c r="F67" s="809"/>
      <c r="G67" s="809"/>
      <c r="H67" s="809"/>
      <c r="I67" s="809"/>
      <c r="J67" s="809"/>
      <c r="K67" s="809"/>
    </row>
  </sheetData>
  <sheetProtection selectLockedCells="1" selectUnlockedCells="1"/>
  <mergeCells count="32">
    <mergeCell ref="B45:E45"/>
    <mergeCell ref="A63:L63"/>
    <mergeCell ref="E64:K64"/>
    <mergeCell ref="C37:D37"/>
    <mergeCell ref="I37:I38"/>
    <mergeCell ref="C38:F38"/>
    <mergeCell ref="A16:L16"/>
    <mergeCell ref="A17:L17"/>
    <mergeCell ref="E65:K65"/>
    <mergeCell ref="E66:K66"/>
    <mergeCell ref="E67:K67"/>
    <mergeCell ref="A40:C40"/>
    <mergeCell ref="A41:C41"/>
    <mergeCell ref="A42:C42"/>
    <mergeCell ref="A43:C43"/>
    <mergeCell ref="D61:J61"/>
    <mergeCell ref="I7:I8"/>
    <mergeCell ref="K7:K8"/>
    <mergeCell ref="A12:L12"/>
    <mergeCell ref="A13:L13"/>
    <mergeCell ref="A14:L14"/>
    <mergeCell ref="A15:L15"/>
    <mergeCell ref="C8:F8"/>
    <mergeCell ref="A5:J5"/>
    <mergeCell ref="A20:L20"/>
    <mergeCell ref="A22:C22"/>
    <mergeCell ref="A37:A38"/>
    <mergeCell ref="A1:L1"/>
    <mergeCell ref="A2:L2"/>
    <mergeCell ref="A3:L3"/>
    <mergeCell ref="A7:A8"/>
    <mergeCell ref="C7:D7"/>
  </mergeCells>
  <printOptions horizontalCentered="1"/>
  <pageMargins left="0.51181102362204722" right="0.51181102362204722" top="0.78740157480314965" bottom="0.39370078740157483" header="0.51181102362204722" footer="0.31496062992125984"/>
  <pageSetup paperSize="9" scale="63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view="pageBreakPreview" topLeftCell="A4" zoomScale="85" zoomScaleSheetLayoutView="85" workbookViewId="0">
      <selection activeCell="A5" sqref="A5"/>
    </sheetView>
  </sheetViews>
  <sheetFormatPr defaultColWidth="9" defaultRowHeight="15"/>
  <cols>
    <col min="1" max="1" width="9.85546875" customWidth="1"/>
    <col min="2" max="2" width="46.5703125" customWidth="1"/>
    <col min="3" max="3" width="16.140625" customWidth="1"/>
  </cols>
  <sheetData>
    <row r="2" spans="1:4">
      <c r="A2" s="814" t="s">
        <v>486</v>
      </c>
      <c r="B2" s="814"/>
      <c r="C2" s="814"/>
      <c r="D2" s="814"/>
    </row>
    <row r="3" spans="1:4">
      <c r="A3" s="511" t="str">
        <f>RESUMO!A7</f>
        <v>OBJETO:</v>
      </c>
      <c r="B3" s="512" t="str">
        <f>RESUMO!B7</f>
        <v>Construção dos pórticos de acesso a cidade de Moreno</v>
      </c>
      <c r="C3" s="513"/>
      <c r="D3" s="513"/>
    </row>
    <row r="4" spans="1:4" ht="15.75">
      <c r="A4" s="514"/>
      <c r="B4" s="515"/>
      <c r="C4" s="247"/>
      <c r="D4" s="247"/>
    </row>
    <row r="5" spans="1:4" ht="15" customHeight="1">
      <c r="A5" s="815" t="s">
        <v>487</v>
      </c>
      <c r="B5" s="815"/>
      <c r="C5" s="815"/>
      <c r="D5" s="815"/>
    </row>
    <row r="6" spans="1:4" ht="15" customHeight="1">
      <c r="A6" s="815" t="s">
        <v>488</v>
      </c>
      <c r="B6" s="815"/>
      <c r="C6" s="815"/>
      <c r="D6" s="815"/>
    </row>
    <row r="7" spans="1:4">
      <c r="A7" s="247"/>
      <c r="B7" s="247"/>
      <c r="C7" s="247"/>
      <c r="D7" s="247"/>
    </row>
    <row r="8" spans="1:4">
      <c r="A8" s="516"/>
      <c r="B8" s="516" t="s">
        <v>489</v>
      </c>
      <c r="C8" s="517"/>
      <c r="D8" s="518" t="s">
        <v>252</v>
      </c>
    </row>
    <row r="9" spans="1:4">
      <c r="A9" s="519" t="s">
        <v>490</v>
      </c>
      <c r="B9" s="520"/>
      <c r="C9" s="521"/>
      <c r="D9" s="522"/>
    </row>
    <row r="10" spans="1:4">
      <c r="A10" s="519" t="s">
        <v>491</v>
      </c>
      <c r="B10" s="523"/>
      <c r="C10" s="524"/>
      <c r="D10" s="522"/>
    </row>
    <row r="11" spans="1:4">
      <c r="A11" s="519" t="s">
        <v>492</v>
      </c>
      <c r="B11" s="523"/>
      <c r="C11" s="524"/>
      <c r="D11" s="522"/>
    </row>
    <row r="12" spans="1:4">
      <c r="A12" s="519" t="s">
        <v>248</v>
      </c>
      <c r="B12" s="523"/>
      <c r="C12" s="524"/>
      <c r="D12" s="522"/>
    </row>
    <row r="13" spans="1:4">
      <c r="A13" s="525" t="s">
        <v>470</v>
      </c>
      <c r="B13" s="526" t="s">
        <v>493</v>
      </c>
      <c r="C13" s="527"/>
      <c r="D13" s="528">
        <f>SUM(D14:D15)</f>
        <v>3.45</v>
      </c>
    </row>
    <row r="14" spans="1:4">
      <c r="A14" s="519" t="s">
        <v>494</v>
      </c>
      <c r="B14" s="523" t="s">
        <v>495</v>
      </c>
      <c r="C14" s="522"/>
      <c r="D14" s="529">
        <v>3.45</v>
      </c>
    </row>
    <row r="15" spans="1:4">
      <c r="A15" s="519" t="s">
        <v>496</v>
      </c>
      <c r="B15" s="523" t="s">
        <v>497</v>
      </c>
      <c r="C15" s="522"/>
      <c r="D15" s="530">
        <f>0</f>
        <v>0</v>
      </c>
    </row>
    <row r="16" spans="1:4">
      <c r="A16" s="525" t="s">
        <v>475</v>
      </c>
      <c r="B16" s="526" t="s">
        <v>498</v>
      </c>
      <c r="C16" s="527"/>
      <c r="D16" s="528">
        <f>SUM(D17)</f>
        <v>5.1100000000000003</v>
      </c>
    </row>
    <row r="17" spans="1:4">
      <c r="A17" s="519" t="s">
        <v>499</v>
      </c>
      <c r="B17" s="523" t="s">
        <v>500</v>
      </c>
      <c r="C17" s="522"/>
      <c r="D17" s="529">
        <v>5.1100000000000003</v>
      </c>
    </row>
    <row r="18" spans="1:4">
      <c r="A18" s="525" t="s">
        <v>474</v>
      </c>
      <c r="B18" s="531" t="s">
        <v>501</v>
      </c>
      <c r="C18" s="517"/>
      <c r="D18" s="532">
        <f>SUM(D19)</f>
        <v>0.85</v>
      </c>
    </row>
    <row r="19" spans="1:4">
      <c r="A19" s="519" t="s">
        <v>502</v>
      </c>
      <c r="B19" s="523" t="s">
        <v>503</v>
      </c>
      <c r="C19" s="522"/>
      <c r="D19" s="529">
        <f>0.85</f>
        <v>0.85</v>
      </c>
    </row>
    <row r="20" spans="1:4">
      <c r="A20" s="525" t="s">
        <v>472</v>
      </c>
      <c r="B20" s="526" t="s">
        <v>504</v>
      </c>
      <c r="C20" s="517"/>
      <c r="D20" s="532">
        <f>SUM(D21:D23)</f>
        <v>1.33</v>
      </c>
    </row>
    <row r="21" spans="1:4">
      <c r="A21" s="519" t="s">
        <v>505</v>
      </c>
      <c r="B21" s="523" t="s">
        <v>506</v>
      </c>
      <c r="C21" s="522"/>
      <c r="D21" s="530">
        <f>0.3</f>
        <v>0.3</v>
      </c>
    </row>
    <row r="22" spans="1:4">
      <c r="A22" s="519" t="s">
        <v>507</v>
      </c>
      <c r="B22" s="523" t="s">
        <v>508</v>
      </c>
      <c r="C22" s="522"/>
      <c r="D22" s="530">
        <f>0.18</f>
        <v>0.18</v>
      </c>
    </row>
    <row r="23" spans="1:4">
      <c r="A23" s="519" t="s">
        <v>509</v>
      </c>
      <c r="B23" s="523" t="s">
        <v>510</v>
      </c>
      <c r="C23" s="522"/>
      <c r="D23" s="530">
        <f>0.85</f>
        <v>0.85</v>
      </c>
    </row>
    <row r="24" spans="1:4">
      <c r="A24" s="525" t="s">
        <v>79</v>
      </c>
      <c r="B24" s="526" t="s">
        <v>511</v>
      </c>
      <c r="C24" s="517"/>
      <c r="D24" s="532">
        <f>SUM(D25:D27)</f>
        <v>3.65</v>
      </c>
    </row>
    <row r="25" spans="1:4">
      <c r="A25" s="519" t="s">
        <v>512</v>
      </c>
      <c r="B25" s="523" t="s">
        <v>466</v>
      </c>
      <c r="C25" s="522"/>
      <c r="D25" s="530">
        <f>0</f>
        <v>0</v>
      </c>
    </row>
    <row r="26" spans="1:4">
      <c r="A26" s="519" t="s">
        <v>513</v>
      </c>
      <c r="B26" s="523" t="s">
        <v>464</v>
      </c>
      <c r="C26" s="522"/>
      <c r="D26" s="530">
        <f>0.65</f>
        <v>0.65</v>
      </c>
    </row>
    <row r="27" spans="1:4">
      <c r="A27" s="519" t="s">
        <v>514</v>
      </c>
      <c r="B27" s="523" t="s">
        <v>467</v>
      </c>
      <c r="C27" s="522"/>
      <c r="D27" s="530">
        <f>3</f>
        <v>3</v>
      </c>
    </row>
    <row r="28" spans="1:4">
      <c r="A28" s="519"/>
      <c r="B28" s="523"/>
      <c r="C28" s="522"/>
      <c r="D28" s="519"/>
    </row>
    <row r="29" spans="1:4">
      <c r="A29" s="516"/>
      <c r="B29" s="816" t="s">
        <v>515</v>
      </c>
      <c r="C29" s="816"/>
      <c r="D29" s="517"/>
    </row>
    <row r="30" spans="1:4" ht="15" customHeight="1">
      <c r="A30" s="817" t="s">
        <v>516</v>
      </c>
      <c r="B30" s="817"/>
      <c r="C30" s="817"/>
      <c r="D30" s="817"/>
    </row>
    <row r="31" spans="1:4">
      <c r="A31" s="523"/>
      <c r="B31" s="522"/>
      <c r="C31" s="533" t="s">
        <v>517</v>
      </c>
      <c r="D31" s="534">
        <f>(((1+D13/100+D20/100)*(1+D18/100)*(1+D16/100))/(1-D24/100)-1)*100</f>
        <v>15.278047942916428</v>
      </c>
    </row>
    <row r="32" spans="1:4">
      <c r="A32" s="523"/>
      <c r="B32" s="522"/>
      <c r="C32" s="535" t="s">
        <v>518</v>
      </c>
      <c r="D32" s="534">
        <f>15</f>
        <v>15</v>
      </c>
    </row>
    <row r="33" spans="1:4">
      <c r="A33" s="247"/>
      <c r="B33" s="247"/>
      <c r="C33" s="247"/>
      <c r="D33" s="247"/>
    </row>
    <row r="34" spans="1:4" ht="28.5" customHeight="1">
      <c r="A34" s="818" t="s">
        <v>519</v>
      </c>
      <c r="B34" s="818"/>
      <c r="C34" s="818"/>
      <c r="D34" s="818"/>
    </row>
    <row r="35" spans="1:4">
      <c r="A35" s="247"/>
      <c r="B35" s="247"/>
      <c r="C35" s="247"/>
      <c r="D35" s="247"/>
    </row>
    <row r="36" spans="1:4">
      <c r="A36" s="247"/>
      <c r="B36" s="247"/>
      <c r="C36" s="247"/>
      <c r="D36" s="247"/>
    </row>
    <row r="37" spans="1:4">
      <c r="A37" s="795" t="str">
        <f>RESUMO!C26</f>
        <v xml:space="preserve"> Moreno, março de 2016</v>
      </c>
      <c r="B37" s="795"/>
      <c r="C37" s="795"/>
      <c r="D37" s="795"/>
    </row>
    <row r="38" spans="1:4">
      <c r="C38" s="247"/>
      <c r="D38" s="247"/>
    </row>
    <row r="39" spans="1:4">
      <c r="A39" s="536"/>
      <c r="B39" s="536" t="s">
        <v>255</v>
      </c>
      <c r="C39" s="247"/>
      <c r="D39" s="247"/>
    </row>
    <row r="40" spans="1:4">
      <c r="A40" s="217"/>
      <c r="B40" s="217" t="s">
        <v>256</v>
      </c>
      <c r="C40" s="247"/>
      <c r="D40" s="247"/>
    </row>
    <row r="41" spans="1:4">
      <c r="A41" s="217"/>
      <c r="B41" s="217" t="s">
        <v>257</v>
      </c>
      <c r="C41" s="247"/>
      <c r="D41" s="247"/>
    </row>
  </sheetData>
  <sheetProtection selectLockedCells="1" selectUnlockedCells="1"/>
  <mergeCells count="7">
    <mergeCell ref="A37:D37"/>
    <mergeCell ref="A2:D2"/>
    <mergeCell ref="A5:D5"/>
    <mergeCell ref="A6:D6"/>
    <mergeCell ref="B29:C29"/>
    <mergeCell ref="A30:D30"/>
    <mergeCell ref="A34:D3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16</vt:i4>
      </vt:variant>
    </vt:vector>
  </HeadingPairs>
  <TitlesOfParts>
    <vt:vector size="31" baseType="lpstr">
      <vt:lpstr>SINAPI</vt:lpstr>
      <vt:lpstr>Plan1</vt:lpstr>
      <vt:lpstr>RESUMO</vt:lpstr>
      <vt:lpstr>ANEXO VI- Planilha Orçamentária</vt:lpstr>
      <vt:lpstr>ANEXO XVII- MEMORIA DE CALCULO</vt:lpstr>
      <vt:lpstr>ORÇAMENTO SEM BDI</vt:lpstr>
      <vt:lpstr>ANEXO VII- CRONOG. FISICO-FINA.</vt:lpstr>
      <vt:lpstr>BDI 29%</vt:lpstr>
      <vt:lpstr>ANEXO X- BDI 15%</vt:lpstr>
      <vt:lpstr>ENCARGOS SOCIAIS</vt:lpstr>
      <vt:lpstr>ENCARGOS SOCIAIS DESONERADO</vt:lpstr>
      <vt:lpstr>ANEXO XVI- COMP. DE CUSTO UNIT.</vt:lpstr>
      <vt:lpstr>Quantitativo</vt:lpstr>
      <vt:lpstr>Plan2</vt:lpstr>
      <vt:lpstr>Referencias</vt:lpstr>
      <vt:lpstr>'ANEXO VI- Planilha Orçamentária'!Area_de_impressao</vt:lpstr>
      <vt:lpstr>'ANEXO VII- CRONOG. FISICO-FINA.'!Area_de_impressao</vt:lpstr>
      <vt:lpstr>'ANEXO XVI- COMP. DE CUSTO UNIT.'!Area_de_impressao</vt:lpstr>
      <vt:lpstr>'ANEXO XVII- MEMORIA DE CALCULO'!Area_de_impressao</vt:lpstr>
      <vt:lpstr>'BDI 29%'!Area_de_impressao</vt:lpstr>
      <vt:lpstr>'ORÇAMENTO SEM BDI'!Area_de_impressao</vt:lpstr>
      <vt:lpstr>Plan1!Area_de_impressao</vt:lpstr>
      <vt:lpstr>Quantitativo!Area_de_impressao</vt:lpstr>
      <vt:lpstr>RESUMO!Area_de_impressao</vt:lpstr>
      <vt:lpstr>SINAPI!Area_de_impressao</vt:lpstr>
      <vt:lpstr>'ANEXO VI- Planilha Orçamentária'!Titulos_de_impressao</vt:lpstr>
      <vt:lpstr>'ANEXO VII- CRONOG. FISICO-FINA.'!Titulos_de_impressao</vt:lpstr>
      <vt:lpstr>'ANEXO XVI- COMP. DE CUSTO UNIT.'!Titulos_de_impressao</vt:lpstr>
      <vt:lpstr>'ANEXO XVII- MEMORIA DE CALCULO'!Titulos_de_impressao</vt:lpstr>
      <vt:lpstr>'ORÇAMENTO SEM BDI'!Titulos_de_impressao</vt:lpstr>
      <vt:lpstr>Quantitativo!Titulos_de_impressao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Rafaelp.Compras</cp:lastModifiedBy>
  <cp:revision>5</cp:revision>
  <cp:lastPrinted>2022-11-01T20:20:20Z</cp:lastPrinted>
  <dcterms:created xsi:type="dcterms:W3CDTF">2011-07-26T22:14:24Z</dcterms:created>
  <dcterms:modified xsi:type="dcterms:W3CDTF">2023-05-08T18:10:38Z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TC019107249991</vt:lpwstr>
  </property>
</Properties>
</file>